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170" windowHeight="6915" activeTab="0"/>
  </bookViews>
  <sheets>
    <sheet name="Version1.1" sheetId="1" r:id="rId1"/>
  </sheets>
  <definedNames>
    <definedName name="ApproxDispVolBelowFrame">'Version1.1'!$C$63:$DP$63</definedName>
    <definedName name="ApproxTireVolume">'Version1.1'!$C$61:$DP$61</definedName>
    <definedName name="ApproxVolumeBelowFrame">'Version1.1'!$C$62:$DP$62</definedName>
    <definedName name="AppTireTreadWidth_in">'Version1.1'!$C$53:$DP$53</definedName>
    <definedName name="ASuspTravel">'Version1.1'!$C$75:$DP$75</definedName>
    <definedName name="ASuspTravelDelta">'Version1.1'!$C$74:$DP$74</definedName>
    <definedName name="AWheelArcClearance">'Version1.1'!$C$72:$DP$72</definedName>
    <definedName name="AWheelArcClearanceReq">'Version1.1'!$C$73:$DP$73</definedName>
    <definedName name="AWheelArcGap">'Version1.1'!$C$76:$DP$76</definedName>
    <definedName name="AxleTubeClearance">'Version1.1'!$C$42:$DP$42</definedName>
    <definedName name="Base">'Version1.1'!$C$3:$C$111</definedName>
    <definedName name="BodyClearance">'Version1.1'!$C$38:$DP$38</definedName>
    <definedName name="BodyClearanceReq">'Version1.1'!$C$55:$DP$55</definedName>
    <definedName name="BodyDelta">'Version1.1'!$C$19:$DP$19</definedName>
    <definedName name="BodyGroupCG">'Version1.1'!$C$27:$DP$27</definedName>
    <definedName name="BodyGroupMass">'Version1.1'!$C$26:$DP$26</definedName>
    <definedName name="CorrectedTireWidth">'Version1.1'!$C$49:$BZ$49</definedName>
    <definedName name="DeflatedFrameClearance">'Version1.1'!$C$40:$DP$40</definedName>
    <definedName name="DifferentialClearance">'Version1.1'!$C$41:$DP$41</definedName>
    <definedName name="EffectiveTireHeight">'Version1.1'!$C$47:$DP$47</definedName>
    <definedName name="EffectiveTireWidth">'Version1.1'!$C$50:$BZ$50</definedName>
    <definedName name="EffectiveWidth">'Version1.1'!$C$54:$DP$54</definedName>
    <definedName name="ExtraHeightAft">'Version1.1'!$C$71:$DP$71</definedName>
    <definedName name="FrameClearance">'Version1.1'!$C$39:$DP$39</definedName>
    <definedName name="FrameGroupCG">'Version1.1'!$C$25:$DP$25</definedName>
    <definedName name="FrameGroupMass">'Version1.1'!$C$24:$DP$24</definedName>
    <definedName name="FSuspTravel">'Version1.1'!$C$80:$DP$80</definedName>
    <definedName name="FSuspTravelDelta">'Version1.1'!$C$79:$DP$79</definedName>
    <definedName name="FWheelArcClearance">'Version1.1'!$C$77:$DP$77</definedName>
    <definedName name="FWheelArcClearanceReq">'Version1.1'!$C$78:$DP$78</definedName>
    <definedName name="FWheelArcGap">'Version1.1'!$C$81:$DP$81</definedName>
    <definedName name="HHDelta">'Version1.1'!$C$37:$DP$37</definedName>
    <definedName name="HubHeight">'Version1.1'!$C$36:$DP$36</definedName>
    <definedName name="IFSAssemblyDelta">'Version1.1'!$C$18:$DP$18</definedName>
    <definedName name="LoadLateralAngle">'Version1.1'!$C$65:$DP$65</definedName>
    <definedName name="MaxSteeringWheelAngle">'Version1.1'!$C$57:$BR$57</definedName>
    <definedName name="NetCG">'Version1.1'!$C$34:$DP$34</definedName>
    <definedName name="NetLateralAngle">'Version1.1'!$C$64:$DP$64</definedName>
    <definedName name="NetMass">'Version1.1'!$C$32:$DP$32</definedName>
    <definedName name="PayloadCG">'Version1.1'!$C$29:$DP$29</definedName>
    <definedName name="PayloadMass">'Version1.1'!$C$28:$DP$28</definedName>
    <definedName name="RimHeight">'Version1.1'!$C$44:$DP$44</definedName>
    <definedName name="RimHeight_in">'Version1.1'!$C$11:$DP$11</definedName>
    <definedName name="RimMass">'Version1.1'!$C$21:$BH$21</definedName>
    <definedName name="RimMat">'Version1.1'!$C$14:$DZ$14</definedName>
    <definedName name="RimOffset">'Version1.1'!$C$13:$DP$13</definedName>
    <definedName name="RimOffsetReq">'Version1.1'!$C$58:$DP$58</definedName>
    <definedName name="RimWeight_lbs">'Version1.1'!$C$15:$AH$15</definedName>
    <definedName name="RimWidth_in">'Version1.1'!$C$12:$DP$12</definedName>
    <definedName name="SkidPanClearance">'Version1.1'!$C$43:$DP$43</definedName>
    <definedName name="StdRimWidth_in">'Version1.1'!$C$8:$AJ$8</definedName>
    <definedName name="SuspBaseDelta">'Version1.1'!$C$17:$DP$17</definedName>
    <definedName name="SuspTravelDelta">'Version1.1'!$C$16:$DP$16</definedName>
    <definedName name="TireBelowFrameShadow">'Version1.1'!$C$60:$DP$60</definedName>
    <definedName name="TireHeight">'Version1.1'!$C$45:$DP$45</definedName>
    <definedName name="TireHeight_in">'Version1.1'!$C$6:$DP$6</definedName>
    <definedName name="TireMass">'Version1.1'!$C$20:$DP$20</definedName>
    <definedName name="TireShadow">'Version1.1'!$C$59:$DP$59</definedName>
    <definedName name="TireTreadWidth_in">'Version1.1'!$C$9:$IV$9</definedName>
    <definedName name="TireWeight_lbs">'Version1.1'!$C$10:$IV$10</definedName>
    <definedName name="TireWidth">'Version1.1'!$C$48:$DP$48</definedName>
    <definedName name="TireWidth_in">'Version1.1'!$C$7:$DP$7</definedName>
    <definedName name="ToploadCG">'Version1.1'!$C$31:$DP$31</definedName>
    <definedName name="ToploadMass">'Version1.1'!$C$30:$DP$30</definedName>
    <definedName name="TotalCG">'Version1.1'!$C$35:$DP$35</definedName>
    <definedName name="TotalMass">'Version1.1'!$C$33:$DP$33</definedName>
    <definedName name="TotalWidth">'Version1.1'!$C$51:$DP$51</definedName>
    <definedName name="Tread">'Version1.1'!$C$52:$DP$52</definedName>
    <definedName name="TreadWidth_in">'Version1.1'!$C$9:$BH$9</definedName>
    <definedName name="WheelgroupCG">'Version1.1'!$C$23:$DP$23</definedName>
    <definedName name="WheelgroupMass">'Version1.1'!$C$22:$DP$22</definedName>
  </definedNames>
  <calcPr fullCalcOnLoad="1"/>
</workbook>
</file>

<file path=xl/comments1.xml><?xml version="1.0" encoding="utf-8"?>
<comments xmlns="http://schemas.openxmlformats.org/spreadsheetml/2006/main">
  <authors>
    <author>Jon Fannberg</author>
  </authors>
  <commentList>
    <comment ref="C22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Áætlað: Dekk + Felgur + Afturöxull(=100) + Fjöðrunarbúnaður og annað(=50)
</t>
        </r>
      </text>
    </comment>
    <comment ref="C23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Áætlað</t>
        </r>
      </text>
    </comment>
    <comment ref="C24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Áætlað</t>
        </r>
      </text>
    </comment>
    <comment ref="C25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Áætlað</t>
        </r>
      </text>
    </comment>
    <comment ref="C26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Áætlað</t>
        </r>
      </text>
    </comment>
    <comment ref="C27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Áætlað</t>
        </r>
      </text>
    </comment>
    <comment ref="C29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Áætlað</t>
        </r>
      </text>
    </comment>
    <comment ref="C30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Áætlað</t>
        </r>
      </text>
    </comment>
    <comment ref="C31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Áætlað</t>
        </r>
      </text>
    </comment>
    <comment ref="C38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Áætlað</t>
        </r>
      </text>
    </comment>
    <comment ref="C39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Áætlað</t>
        </r>
      </text>
    </comment>
    <comment ref="C72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Áætlað</t>
        </r>
      </text>
    </comment>
    <comment ref="C75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Áætlað</t>
        </r>
      </text>
    </comment>
    <comment ref="C77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Áætlað</t>
        </r>
      </text>
    </comment>
    <comment ref="C80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Áætlað</t>
        </r>
      </text>
    </comment>
    <comment ref="H2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Ég er ekki viss hvort þetta er algengasta leiðin: Klafasíkkun + bodyhækkun. Hásingarfærsla snertir ekki þessa útreykninga</t>
        </r>
      </text>
    </comment>
    <comment ref="I2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Bíllinn minn í dag: Musso Sports með pallhúsi og þaktjaldi, hækkaður á fjöðrum  með OME-pakkanum og stærstu dekk sem komust undir án kanta og skurðaðgerða (265x75x16) = ca 32x10,5
</t>
        </r>
      </text>
    </comment>
    <comment ref="J2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Bætt við felgumllistykkjum og 35" köntum</t>
        </r>
      </text>
    </comment>
    <comment ref="L2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hæstu 33" dekkin, Super Swamper Radial sett á</t>
        </r>
      </text>
    </comment>
    <comment ref="M2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Yfirbreið en ennþá lögleg 33" dekk notuð með 33-35" köntum sem vonandi sleppur</t>
        </r>
      </text>
    </comment>
    <comment ref="K2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Venjuleg 33" dekk og kanter notuð með OME pakanum</t>
        </r>
      </text>
    </comment>
    <comment ref="E2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Svona bíll var til (meira breyttur núna) en það hlítur að hafa verið þröngt ;-) Ég giska á smáræðis hækkanir á klossum og skrúfað upp.</t>
        </r>
      </text>
    </comment>
    <comment ref="N2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Venjuleg 35" dekk og kanter notuð með OME pakkanum</t>
        </r>
      </text>
    </comment>
    <comment ref="Q2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</t>
        </r>
      </text>
    </comment>
    <comment ref="S2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Þessi stærð er á mörkunum að vera lögleg hvað snertir breiddarhlutfall. Valkostur með eiginleika sem er miklu nær 38" heldur en 35" en kostnaður lítið meiri en 35". </t>
        </r>
      </text>
    </comment>
    <comment ref="T2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Tómar ágiskanir, bara til grófrar viðmiðunar</t>
        </r>
      </text>
    </comment>
    <comment ref="P2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Ég veit ekki hvort til eru góð dekk í þessari stærð, en hún er rétt lögleg og kæmi vel út.
</t>
        </r>
      </text>
    </comment>
    <comment ref="J4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Sporvídd aukin með felgumillistykkjum. </t>
        </r>
      </text>
    </comment>
    <comment ref="O2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DC FC2 35" á 12,5" felgu</t>
        </r>
      </text>
    </comment>
    <comment ref="C57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Áætlað
</t>
        </r>
      </text>
    </comment>
    <comment ref="R2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Þessi stærð er á mörkunum að vera lögleg hvað snertir breiddarhlutfall. Valkostur með eiginleika sem er miklu nær 38" heldur en 35" en kostnaður lítið meiri en 35". </t>
        </r>
      </text>
    </comment>
    <comment ref="C56" authorId="0">
      <text>
        <r>
          <rPr>
            <b/>
            <sz val="8"/>
            <rFont val="Tahoma"/>
            <family val="0"/>
          </rPr>
          <t>Jon Fannberg:</t>
        </r>
        <r>
          <rPr>
            <sz val="8"/>
            <rFont val="Tahoma"/>
            <family val="0"/>
          </rPr>
          <t xml:space="preserve">
Heildarbreidd óbreytts bíls er 186,4. Kantar fyrir allt upp í 10" sóla eða felgu breikka ekki bílinn.</t>
        </r>
      </text>
    </comment>
  </commentList>
</comments>
</file>

<file path=xl/sharedStrings.xml><?xml version="1.0" encoding="utf-8"?>
<sst xmlns="http://schemas.openxmlformats.org/spreadsheetml/2006/main" count="251" uniqueCount="201">
  <si>
    <t>Tread</t>
  </si>
  <si>
    <t>SuspTravelDelta</t>
  </si>
  <si>
    <t>BodyDelta</t>
  </si>
  <si>
    <t>WheelgroupCG</t>
  </si>
  <si>
    <t>FrameGroupCG</t>
  </si>
  <si>
    <t>BodyGroupCG</t>
  </si>
  <si>
    <t>PayloadCG</t>
  </si>
  <si>
    <t>ToploadCG</t>
  </si>
  <si>
    <t>WheelgroupMass</t>
  </si>
  <si>
    <t>FrameGroupMass</t>
  </si>
  <si>
    <t>BodyGroupMass</t>
  </si>
  <si>
    <t>PayloadMass</t>
  </si>
  <si>
    <t>ToploadMass</t>
  </si>
  <si>
    <t>NetMass</t>
  </si>
  <si>
    <t>NetCG</t>
  </si>
  <si>
    <t>TotalMass</t>
  </si>
  <si>
    <t>TotalCG</t>
  </si>
  <si>
    <t>FrameClearance</t>
  </si>
  <si>
    <t>BodyClearance</t>
  </si>
  <si>
    <t>HubHeight</t>
  </si>
  <si>
    <t>TireHeight</t>
  </si>
  <si>
    <t>TireWidth</t>
  </si>
  <si>
    <t>Base</t>
  </si>
  <si>
    <t>HHDelta</t>
  </si>
  <si>
    <t>OME-kit</t>
  </si>
  <si>
    <t>TotalWidth</t>
  </si>
  <si>
    <t>BodyClearanceReq</t>
  </si>
  <si>
    <t>RimOffset</t>
  </si>
  <si>
    <t>RimOffsetReq</t>
  </si>
  <si>
    <t>LoadLateralAngle</t>
  </si>
  <si>
    <t>ApproxTireVolume</t>
  </si>
  <si>
    <t>ApproxVolumeBelowFrame</t>
  </si>
  <si>
    <t>TireShadow</t>
  </si>
  <si>
    <t>TireBelowFrameShadow</t>
  </si>
  <si>
    <t>ApproxDispVolBelowFrame</t>
  </si>
  <si>
    <t>Suspension</t>
  </si>
  <si>
    <t>Rims</t>
  </si>
  <si>
    <t>Body</t>
  </si>
  <si>
    <t>Std</t>
  </si>
  <si>
    <t>15*10</t>
  </si>
  <si>
    <t>15*16</t>
  </si>
  <si>
    <t>Flares</t>
  </si>
  <si>
    <t>TireHeight_in</t>
  </si>
  <si>
    <t>TireWidth_in</t>
  </si>
  <si>
    <t>Body-Lift</t>
  </si>
  <si>
    <t xml:space="preserve">  Name</t>
  </si>
  <si>
    <t>Modification data</t>
  </si>
  <si>
    <t>Configuration description</t>
  </si>
  <si>
    <t>NetLateralAngle</t>
  </si>
  <si>
    <t>Masses and CG's</t>
  </si>
  <si>
    <t>OME + Body-Lift</t>
  </si>
  <si>
    <t>Std + spacers</t>
  </si>
  <si>
    <t>EffectiveWidth</t>
  </si>
  <si>
    <t xml:space="preserve">AWheelArcClearance </t>
  </si>
  <si>
    <t>ASuspTravel</t>
  </si>
  <si>
    <t xml:space="preserve">AWheelArcClearanceReq </t>
  </si>
  <si>
    <t xml:space="preserve">FWheelArcClearanceReq </t>
  </si>
  <si>
    <t>FSuspTravel</t>
  </si>
  <si>
    <t xml:space="preserve">FWheelArcClearance </t>
  </si>
  <si>
    <t>DeflatedFrameClearance</t>
  </si>
  <si>
    <t>RimHeight_in</t>
  </si>
  <si>
    <t>RimWidth_in</t>
  </si>
  <si>
    <t>RimHeight</t>
  </si>
  <si>
    <t>AppTireTreadWidth_in</t>
  </si>
  <si>
    <t>SSR33</t>
  </si>
  <si>
    <t>Toyo33</t>
  </si>
  <si>
    <t>32spacer</t>
  </si>
  <si>
    <t>OME35</t>
  </si>
  <si>
    <t>Nafn sem valkosti er gefið til aðgreiningar</t>
  </si>
  <si>
    <t>Lýsing hækkunarbreytinga</t>
  </si>
  <si>
    <t>Felgustærð</t>
  </si>
  <si>
    <t>Brettakantar</t>
  </si>
  <si>
    <t>Dekkjahæð í tommum</t>
  </si>
  <si>
    <t>Felguhæð í tommum</t>
  </si>
  <si>
    <t>Felgubreidd í tommum</t>
  </si>
  <si>
    <t>Hækkun yfirbygingar á grind</t>
  </si>
  <si>
    <t>Sporvídd milli felgumiðja</t>
  </si>
  <si>
    <t xml:space="preserve">Hæð undir grind </t>
  </si>
  <si>
    <t>Hæð undir grind með úrhleyptum dekkjum (50% belghæð)</t>
  </si>
  <si>
    <t xml:space="preserve">Samanlagður massi hjólasamstæðu, þ.e.a.s. Hjóla, öxla, fjaðra o.s.fv. = ófjaðraður massi </t>
  </si>
  <si>
    <t>Hæð þungamiðju hjólasamstæðu</t>
  </si>
  <si>
    <t xml:space="preserve">Samanlagður massi grindarsamstæðu þ.e.a.s. grindar og allra áfastra hluta nema yfirbyggingar  </t>
  </si>
  <si>
    <t>Hæð þungamiðju grindarsamstæðu</t>
  </si>
  <si>
    <t xml:space="preserve">Samanlagður massi yfirbyggingarsamstæðu þ.e.a.s. grindar og allra áfastra hluta </t>
  </si>
  <si>
    <t>Hæð þungamiðju yfirbyggingarsamstæðu</t>
  </si>
  <si>
    <t>Samanlagður massi fylgihluta og farms á toppi yfirbyggingar</t>
  </si>
  <si>
    <t>Hæð þungamiðju topp-farms</t>
  </si>
  <si>
    <t>Heildarbreidd sporvíddar milli ytri dekkjahliða</t>
  </si>
  <si>
    <t>Hæð hjólnafs</t>
  </si>
  <si>
    <t>Mismunur á hæð hjólhafs miðað við "base"</t>
  </si>
  <si>
    <t>Felguhæð í mm.</t>
  </si>
  <si>
    <t>Dekkjahæð í mm.</t>
  </si>
  <si>
    <t>Nauðsynleg hæð undir yfirbyggingu (til a ná rými upp á við í hjólskálum)</t>
  </si>
  <si>
    <t>"Dekkjaskuggi", flatarmál dekkjastærðar (hæð x breidd)</t>
  </si>
  <si>
    <t>Áætlað rúmmál dekks</t>
  </si>
  <si>
    <t>Áætlað rými dekks neðan grindar (nálgun), það rými sem dekkið "tekur" í jarðvegi (rúmmál + tómarými innan í felgu). Sennilega raunhæfara mat á floti í jarðvegi.</t>
  </si>
  <si>
    <t>Heildarmassi tóms bíls</t>
  </si>
  <si>
    <t>Heildarmassi hlaðins bíls</t>
  </si>
  <si>
    <t>Hæð þungamiðju tóms bíls</t>
  </si>
  <si>
    <t>Hæð þungamiðju hlaðins bíls</t>
  </si>
  <si>
    <t>Dekjaskuggi neðan grindar, þ.e.a.s. aðeins tekið tillit til þess (flot-virka) hluta dekks sem nær niður fyrir grind (dekk fyrir ofan grindarbotn nýtast ekki til drifgetu ;-)</t>
  </si>
  <si>
    <t>Áætlað rúmmál dekks neðan grindar (nálgun), þ.e.a.s. aðeins tekið tillit til þess (flot-virka) hluta dekks sem nær niður fyrir grind (dekk fyrir ofan grindarbotn nýtast ekki til drifgetu ;-)</t>
  </si>
  <si>
    <t>EffectiveTireHeight</t>
  </si>
  <si>
    <t>SkidPanClearance</t>
  </si>
  <si>
    <t>Ground Clearances</t>
  </si>
  <si>
    <t>AxleTubeClearance</t>
  </si>
  <si>
    <t>Wheelsize requirements</t>
  </si>
  <si>
    <t xml:space="preserve"> Wheel and undercarriage calculations</t>
  </si>
  <si>
    <t>BigFlares</t>
  </si>
  <si>
    <t>Current</t>
  </si>
  <si>
    <t>Hæð undir drifkúlu</t>
  </si>
  <si>
    <t>Hæð undir Öxulrör</t>
  </si>
  <si>
    <t>Hæð undir hlífðarpönnu að framan (skiptir máli á klafabílum)</t>
  </si>
  <si>
    <t>Standhæð óúthleyptra dekkja (30 PSI) undir bíl. Stuðullinn (82% belghæð) er meðaltal úr töflu fyrir BFG AT</t>
  </si>
  <si>
    <t>DifferentialClearance</t>
  </si>
  <si>
    <t>AWheelArcGap</t>
  </si>
  <si>
    <t>FWheelArcGap</t>
  </si>
  <si>
    <t>ASuspTravelDelta</t>
  </si>
  <si>
    <t>FSuspTravelDelta</t>
  </si>
  <si>
    <t>ExtraHeightAft</t>
  </si>
  <si>
    <t>Veghæð aftari hjólskála</t>
  </si>
  <si>
    <t>Nauðsynleg veghæð aftari hjólskála</t>
  </si>
  <si>
    <t>Fjöðrunarlengd aftan, skiptist jafnt í upp og niðurfjöðrun.</t>
  </si>
  <si>
    <t>Veghæð fremri hjólskála</t>
  </si>
  <si>
    <t>Nauðsynleg veghæð fremri hjólskála</t>
  </si>
  <si>
    <t>Fjöðrunarlengd framan, skiptist jafnt í upp og niðurfjöðrun.</t>
  </si>
  <si>
    <t>Viðbótar-hækkun að aftan með tilliti til hleðslu og til að fullnýta fjöðrunarsvið</t>
  </si>
  <si>
    <t>Custom+BodyLift</t>
  </si>
  <si>
    <t>Í viðbótartöflunnni hér fyrir neðan eru upphækkunarskilirðin með tilliti til hæðar í hjólaskálum framan og aftan skoðuð sitt í hvoru lagi (á sérstaklega við fyrir klafabíla).</t>
  </si>
  <si>
    <t>Virk sporvídd milli ytri kanta sóla með tilliti til skælingar (áætluð jafn mikil og lóðrétt samþjöppun dekks á jafnsléttu). Þetta er grundvöllur áætlaðs stöðugleika í hliðarhalla.</t>
  </si>
  <si>
    <t>Hækkun á aftari fjöðrun sem skilar sér í fjöðrunarlengd. Áætlað að lenging fjöðrunar sé jafnmikil og hækkun og skiptist jafnt í upp og niðurfjöðrun.</t>
  </si>
  <si>
    <t>Hækkun á fremri fjöðrun sem skilar sér í fjöðrunarlengd. Áætlað að lenging fjöðrunar sé jafnmikil og hækkun og skiptist jafnt í upp og niðurfjöðrun.</t>
  </si>
  <si>
    <t>TireMass</t>
  </si>
  <si>
    <t>Dekkjabreidd í tommum. Rautt letur þýðir að sóli (áætlaður 80% af dekksbreidd) er líklega yfir 33% af dekkjahæð og þar með ólöglegur.</t>
  </si>
  <si>
    <t xml:space="preserve">"Offset" felgumiðju. Rautt letur þýðir að það sé of lítið og hætta sé á að dekk rekist í að innan </t>
  </si>
  <si>
    <t>Hæð undir yfirbyggingu (sílsa). Rautt letur þýðir að hækkun sé of lítil eða fjöðrunarsvið (upp á við) of mikið og dekk geti rekist upp í hjólskálar</t>
  </si>
  <si>
    <t>Hliðarveltihorn tóms bíls, þ.e.a.s. áætlað hámarkshorn hliðarhalla stöðugs bíls. Grænt letur þýðir að bíllinn er stöðugri en óbreyttur.</t>
  </si>
  <si>
    <t>Hliðarveltihorn hlaðins bíls, þ.e.a.s. áætlað hámarkshorn hliðarhalla stöðugs bíls. Grænt letur þýðir að bíllinn er stöðugri en óbreyttur.</t>
  </si>
  <si>
    <t>Millibil dekks upp í hjólaskál að framan við fullkomna uppfjöðrun (samslátt). Rautt letur þýðir að millibil sé of lítið og dekk geti rekist upp undir.</t>
  </si>
  <si>
    <t>Millibil dekks upp í hjólaskál að aftan við fullkomna uppfjöðrun (samslátt). Rautt letur þýðir að millibil sé of lítið og dekk geti rekist upp undir.</t>
  </si>
  <si>
    <t>Samanlagður massi farþega og farms í farangursrými. Sjá einnig TopLoadMass.</t>
  </si>
  <si>
    <t>Hæð þungamiðju farms og farþega</t>
  </si>
  <si>
    <t>Wheel flotation calculations</t>
  </si>
  <si>
    <t>Stability calculations</t>
  </si>
  <si>
    <t>Calculations of forward and aft wheel clearances</t>
  </si>
  <si>
    <t>Spacers</t>
  </si>
  <si>
    <t>OME33</t>
  </si>
  <si>
    <t>?</t>
  </si>
  <si>
    <t>16*7</t>
  </si>
  <si>
    <t>15*7</t>
  </si>
  <si>
    <t xml:space="preserve">Std </t>
  </si>
  <si>
    <t>Venjulegar Musso-breytingar</t>
  </si>
  <si>
    <t>Minn bíll og vangaveltur um meiri breytingar</t>
  </si>
  <si>
    <t>XXLFlares</t>
  </si>
  <si>
    <t>IFSAssemblyDelta</t>
  </si>
  <si>
    <t>SuspBaseDelta</t>
  </si>
  <si>
    <t>Klafasíkkun: Að því er mér skilst, færist allur fjaðrabúnaður og framdrifið (og þar með líka hlífðarpannan) niður.</t>
  </si>
  <si>
    <t>OfurMusso</t>
  </si>
  <si>
    <t>FC2-35</t>
  </si>
  <si>
    <t>EffectiveTireWidth</t>
  </si>
  <si>
    <t>BFG31"</t>
  </si>
  <si>
    <t>BFG32"</t>
  </si>
  <si>
    <t>BFG33"</t>
  </si>
  <si>
    <t>BFG35"</t>
  </si>
  <si>
    <t>MaxSteeringWheelAngle</t>
  </si>
  <si>
    <t>Sólabreidd dekkja, uppgefin eða áætluð (80% af uppgefinni dekkjabreidd á standardfelgu)</t>
  </si>
  <si>
    <t>Breidd standardfelgu í tommum (sem uppgefinn dekkjamál framleiðanda miðast vid)</t>
  </si>
  <si>
    <t>TireTreadWidth_in</t>
  </si>
  <si>
    <t>TireWeight_lbs</t>
  </si>
  <si>
    <t>SSR35</t>
  </si>
  <si>
    <t>FC2-38"</t>
  </si>
  <si>
    <t>GH44"</t>
  </si>
  <si>
    <t>Sólabreidd dekks í tommum ef hún er þekkt. Rautt letur þýðir að breiddin er yfir 33% af dekkjahæð og þar með ólögleg.</t>
  </si>
  <si>
    <t>Þyngd dekks í lbs. ef hún er þekkt.</t>
  </si>
  <si>
    <t>StdRimWidth_in</t>
  </si>
  <si>
    <t>Uppgefin dekkjabreidd í mm (á standardfelgu).</t>
  </si>
  <si>
    <t>Dekkjabreidd í mm umreiknuð fyrir felgu sem á að nota.</t>
  </si>
  <si>
    <t>CorrectedTireWidth</t>
  </si>
  <si>
    <t>Virk dekkjabreidd (nálgun) fyrir dekkjaflotsreikninga</t>
  </si>
  <si>
    <t>RimBackspace_in</t>
  </si>
  <si>
    <t>RimWeight_lbs</t>
  </si>
  <si>
    <t xml:space="preserve">  RimMass</t>
  </si>
  <si>
    <t xml:space="preserve">Uppgefinn eða áætlaður (nálgun sem tekur mið af DC FC-2) dekkjaþungi í kg. </t>
  </si>
  <si>
    <t>Felguþyngd í lbs. ef hún er þekkt</t>
  </si>
  <si>
    <t>Hækkun á fjöðrunarbúnaði/grind án lengingar uppfjöðrunarsviðs, t.d. Klossar, festingasíkkanir, eða fjöðrunarhæð, með samfylgjandi lækkun samsláttarpúða</t>
  </si>
  <si>
    <t xml:space="preserve">Hækkun á fjöðrum, með lengdu uppfjöðrunarsviði og þar með aukinnni þörf fyrir rými upp á við í hjólskálum </t>
  </si>
  <si>
    <t>RimMat</t>
  </si>
  <si>
    <t xml:space="preserve">S </t>
  </si>
  <si>
    <t>A</t>
  </si>
  <si>
    <t xml:space="preserve">15*12 </t>
  </si>
  <si>
    <t xml:space="preserve">Uppgefin eða áætluð (viðmiðun: MRW fyrir stálfelgur, MT fyrir álfelgur) felguþyngd. </t>
  </si>
  <si>
    <t>Efni felgu ef áætla þarf þyngd, A = ál, S = stál</t>
  </si>
  <si>
    <t>Toyo35</t>
  </si>
  <si>
    <t>FC2-36</t>
  </si>
  <si>
    <t>OME-36</t>
  </si>
  <si>
    <t xml:space="preserve">15*14 </t>
  </si>
  <si>
    <t>15*14</t>
  </si>
  <si>
    <t>S</t>
  </si>
  <si>
    <t>Hornamál framhjóls þegar lagt er fullt á stýri</t>
  </si>
  <si>
    <t>Nauðsynlegt "felguoffset" til að tryggja nóg rými inn á við í fremri hjólskálum. Miðað er við innri mörk sóla við fullt álagshorn stýris.</t>
  </si>
  <si>
    <t>TotalBodyWidthReq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</si>
</sst>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"/>
    <numFmt numFmtId="168" formatCode="0.000000000"/>
    <numFmt numFmtId="169" formatCode="#\ ?/8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1" fontId="0" fillId="0" borderId="1" xfId="0" applyNumberFormat="1" applyFill="1" applyBorder="1" applyAlignment="1">
      <alignment horizontal="right"/>
    </xf>
    <xf numFmtId="1" fontId="0" fillId="2" borderId="2" xfId="0" applyNumberFormat="1" applyFill="1" applyBorder="1" applyAlignment="1">
      <alignment horizontal="right"/>
    </xf>
    <xf numFmtId="2" fontId="0" fillId="2" borderId="2" xfId="0" applyNumberForma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" fontId="0" fillId="2" borderId="3" xfId="0" applyNumberFormat="1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" fontId="0" fillId="0" borderId="0" xfId="0" applyNumberFormat="1" applyFill="1" applyAlignment="1">
      <alignment horizontal="right" wrapText="1"/>
    </xf>
    <xf numFmtId="0" fontId="0" fillId="0" borderId="0" xfId="0" applyFill="1" applyAlignment="1">
      <alignment wrapText="1"/>
    </xf>
    <xf numFmtId="164" fontId="1" fillId="2" borderId="7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8" xfId="0" applyNumberFormat="1" applyFill="1" applyBorder="1" applyAlignment="1" applyProtection="1">
      <alignment horizontal="right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0" fontId="0" fillId="2" borderId="5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1" fontId="0" fillId="0" borderId="3" xfId="0" applyNumberFormat="1" applyFill="1" applyBorder="1" applyAlignment="1" applyProtection="1">
      <alignment horizontal="right"/>
      <protection locked="0"/>
    </xf>
    <xf numFmtId="1" fontId="0" fillId="0" borderId="3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 horizontal="center" wrapText="1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1" fontId="0" fillId="0" borderId="5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 wrapText="1"/>
    </xf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" fontId="0" fillId="2" borderId="0" xfId="0" applyNumberFormat="1" applyFon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1" fontId="0" fillId="2" borderId="8" xfId="0" applyNumberFormat="1" applyFill="1" applyBorder="1" applyAlignment="1">
      <alignment horizontal="right"/>
    </xf>
    <xf numFmtId="2" fontId="0" fillId="2" borderId="8" xfId="0" applyNumberFormat="1" applyFill="1" applyBorder="1" applyAlignment="1">
      <alignment horizontal="right"/>
    </xf>
    <xf numFmtId="2" fontId="0" fillId="2" borderId="3" xfId="0" applyNumberFormat="1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1" fontId="0" fillId="2" borderId="2" xfId="0" applyNumberFormat="1" applyFont="1" applyFill="1" applyBorder="1" applyAlignment="1" applyProtection="1">
      <alignment horizontal="right"/>
      <protection/>
    </xf>
    <xf numFmtId="1" fontId="0" fillId="0" borderId="2" xfId="0" applyNumberFormat="1" applyFill="1" applyBorder="1" applyAlignment="1" applyProtection="1">
      <alignment horizontal="center" wrapText="1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/>
    </xf>
    <xf numFmtId="1" fontId="1" fillId="0" borderId="3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1" fontId="0" fillId="2" borderId="10" xfId="0" applyNumberFormat="1" applyFill="1" applyBorder="1" applyAlignment="1">
      <alignment horizontal="right"/>
    </xf>
    <xf numFmtId="0" fontId="0" fillId="0" borderId="9" xfId="0" applyFill="1" applyBorder="1" applyAlignment="1">
      <alignment/>
    </xf>
    <xf numFmtId="1" fontId="0" fillId="0" borderId="9" xfId="0" applyNumberFormat="1" applyFill="1" applyBorder="1" applyAlignment="1">
      <alignment horizontal="right"/>
    </xf>
    <xf numFmtId="1" fontId="0" fillId="0" borderId="11" xfId="0" applyNumberFormat="1" applyFill="1" applyBorder="1" applyAlignment="1" applyProtection="1">
      <alignment horizontal="right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0" fillId="0" borderId="10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1" fillId="0" borderId="7" xfId="0" applyNumberFormat="1" applyFont="1" applyFill="1" applyBorder="1" applyAlignment="1" applyProtection="1">
      <alignment horizontal="right"/>
      <protection locked="0"/>
    </xf>
    <xf numFmtId="1" fontId="0" fillId="0" borderId="7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1" fontId="0" fillId="0" borderId="9" xfId="0" applyNumberFormat="1" applyFill="1" applyBorder="1" applyAlignment="1" applyProtection="1">
      <alignment horizontal="center" wrapText="1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>
      <alignment horizontal="right"/>
    </xf>
    <xf numFmtId="1" fontId="0" fillId="2" borderId="9" xfId="0" applyNumberFormat="1" applyFont="1" applyFill="1" applyBorder="1" applyAlignment="1">
      <alignment horizontal="right"/>
    </xf>
    <xf numFmtId="1" fontId="0" fillId="2" borderId="10" xfId="0" applyNumberFormat="1" applyFont="1" applyFill="1" applyBorder="1" applyAlignment="1">
      <alignment horizontal="right"/>
    </xf>
    <xf numFmtId="1" fontId="0" fillId="0" borderId="4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 wrapText="1"/>
      <protection locked="0"/>
    </xf>
    <xf numFmtId="1" fontId="0" fillId="0" borderId="6" xfId="0" applyNumberFormat="1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" fontId="0" fillId="0" borderId="14" xfId="0" applyNumberFormat="1" applyFill="1" applyBorder="1" applyAlignment="1" applyProtection="1">
      <alignment horizontal="right"/>
      <protection locked="0"/>
    </xf>
    <xf numFmtId="1" fontId="0" fillId="0" borderId="15" xfId="0" applyNumberFormat="1" applyFill="1" applyBorder="1" applyAlignment="1" applyProtection="1">
      <alignment horizontal="right"/>
      <protection locked="0"/>
    </xf>
    <xf numFmtId="1" fontId="0" fillId="0" borderId="16" xfId="0" applyNumberFormat="1" applyFill="1" applyBorder="1" applyAlignment="1" applyProtection="1">
      <alignment horizontal="right"/>
      <protection locked="0"/>
    </xf>
    <xf numFmtId="1" fontId="0" fillId="0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/>
    </xf>
    <xf numFmtId="1" fontId="0" fillId="2" borderId="7" xfId="0" applyNumberFormat="1" applyFill="1" applyBorder="1" applyAlignment="1" applyProtection="1">
      <alignment horizontal="right"/>
      <protection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2" borderId="9" xfId="0" applyFont="1" applyFill="1" applyBorder="1" applyAlignment="1">
      <alignment horizontal="right"/>
    </xf>
    <xf numFmtId="169" fontId="0" fillId="2" borderId="0" xfId="0" applyNumberFormat="1" applyFill="1" applyBorder="1" applyAlignment="1">
      <alignment horizontal="right"/>
    </xf>
    <xf numFmtId="169" fontId="0" fillId="2" borderId="2" xfId="0" applyNumberFormat="1" applyFill="1" applyBorder="1" applyAlignment="1">
      <alignment horizontal="right"/>
    </xf>
    <xf numFmtId="169" fontId="0" fillId="2" borderId="1" xfId="0" applyNumberFormat="1" applyFill="1" applyBorder="1" applyAlignment="1">
      <alignment horizontal="right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tabSelected="1" workbookViewId="0" topLeftCell="A1">
      <pane xSplit="2" ySplit="19" topLeftCell="C45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45" sqref="A1:IV16384"/>
    </sheetView>
  </sheetViews>
  <sheetFormatPr defaultColWidth="11.421875" defaultRowHeight="12.75"/>
  <cols>
    <col min="1" max="1" width="12.00390625" style="3" customWidth="1"/>
    <col min="2" max="2" width="23.00390625" style="1" customWidth="1"/>
    <col min="3" max="19" width="8.28125" style="1" customWidth="1"/>
    <col min="20" max="20" width="8.7109375" style="1" customWidth="1"/>
    <col min="21" max="21" width="147.140625" style="50" customWidth="1"/>
    <col min="22" max="27" width="11.421875" style="1" customWidth="1"/>
    <col min="28" max="16384" width="11.421875" style="3" customWidth="1"/>
  </cols>
  <sheetData>
    <row r="1" spans="4:20" ht="13.5" thickBot="1">
      <c r="D1" s="109" t="s">
        <v>151</v>
      </c>
      <c r="E1" s="110"/>
      <c r="F1" s="110"/>
      <c r="G1" s="110"/>
      <c r="H1" s="111"/>
      <c r="I1" s="109" t="s">
        <v>152</v>
      </c>
      <c r="J1" s="110"/>
      <c r="K1" s="110"/>
      <c r="L1" s="110"/>
      <c r="M1" s="110"/>
      <c r="N1" s="110"/>
      <c r="O1" s="110"/>
      <c r="P1" s="110"/>
      <c r="Q1" s="110"/>
      <c r="R1" s="110"/>
      <c r="S1" s="111"/>
      <c r="T1" s="95" t="s">
        <v>157</v>
      </c>
    </row>
    <row r="2" spans="1:27" ht="13.5" thickBot="1">
      <c r="A2" s="112" t="s">
        <v>47</v>
      </c>
      <c r="B2" s="30" t="s">
        <v>45</v>
      </c>
      <c r="C2" s="60" t="s">
        <v>22</v>
      </c>
      <c r="D2" s="71" t="s">
        <v>160</v>
      </c>
      <c r="E2" s="37" t="s">
        <v>161</v>
      </c>
      <c r="F2" s="37" t="s">
        <v>162</v>
      </c>
      <c r="G2" s="37" t="s">
        <v>163</v>
      </c>
      <c r="H2" s="37" t="s">
        <v>170</v>
      </c>
      <c r="I2" s="61" t="s">
        <v>109</v>
      </c>
      <c r="J2" s="37" t="s">
        <v>66</v>
      </c>
      <c r="K2" s="37" t="s">
        <v>146</v>
      </c>
      <c r="L2" s="38" t="s">
        <v>64</v>
      </c>
      <c r="M2" s="61" t="s">
        <v>65</v>
      </c>
      <c r="N2" s="37" t="s">
        <v>67</v>
      </c>
      <c r="O2" s="61" t="s">
        <v>158</v>
      </c>
      <c r="P2" s="37" t="s">
        <v>169</v>
      </c>
      <c r="Q2" s="37" t="s">
        <v>192</v>
      </c>
      <c r="R2" s="61" t="s">
        <v>194</v>
      </c>
      <c r="S2" s="61" t="s">
        <v>193</v>
      </c>
      <c r="T2" s="91" t="s">
        <v>171</v>
      </c>
      <c r="U2" s="47" t="s">
        <v>68</v>
      </c>
      <c r="V2" s="2"/>
      <c r="W2" s="2"/>
      <c r="X2" s="2"/>
      <c r="Y2" s="2"/>
      <c r="Z2" s="2"/>
      <c r="AA2" s="2"/>
    </row>
    <row r="3" spans="1:27" s="21" customFormat="1" ht="26.25" customHeight="1">
      <c r="A3" s="113"/>
      <c r="B3" s="31" t="s">
        <v>35</v>
      </c>
      <c r="C3" s="58" t="s">
        <v>38</v>
      </c>
      <c r="D3" s="86" t="s">
        <v>145</v>
      </c>
      <c r="E3" s="39" t="s">
        <v>147</v>
      </c>
      <c r="F3" s="39" t="s">
        <v>44</v>
      </c>
      <c r="G3" s="39" t="s">
        <v>44</v>
      </c>
      <c r="H3" s="39" t="s">
        <v>127</v>
      </c>
      <c r="I3" s="39" t="s">
        <v>24</v>
      </c>
      <c r="J3" s="39" t="s">
        <v>24</v>
      </c>
      <c r="K3" s="39" t="s">
        <v>24</v>
      </c>
      <c r="L3" s="39" t="s">
        <v>24</v>
      </c>
      <c r="M3" s="39" t="s">
        <v>24</v>
      </c>
      <c r="N3" s="39" t="s">
        <v>50</v>
      </c>
      <c r="O3" s="39" t="s">
        <v>50</v>
      </c>
      <c r="P3" s="39" t="s">
        <v>50</v>
      </c>
      <c r="Q3" s="39" t="s">
        <v>50</v>
      </c>
      <c r="R3" s="39" t="s">
        <v>50</v>
      </c>
      <c r="S3" s="39" t="s">
        <v>50</v>
      </c>
      <c r="T3" s="92" t="s">
        <v>127</v>
      </c>
      <c r="U3" s="47" t="s">
        <v>69</v>
      </c>
      <c r="V3" s="20"/>
      <c r="W3" s="20"/>
      <c r="X3" s="20"/>
      <c r="Y3" s="20"/>
      <c r="Z3" s="20"/>
      <c r="AA3" s="20"/>
    </row>
    <row r="4" spans="1:27" s="21" customFormat="1" ht="15.75" customHeight="1">
      <c r="A4" s="113"/>
      <c r="B4" s="31" t="s">
        <v>36</v>
      </c>
      <c r="C4" s="58" t="s">
        <v>148</v>
      </c>
      <c r="D4" s="86" t="s">
        <v>149</v>
      </c>
      <c r="E4" s="39" t="s">
        <v>149</v>
      </c>
      <c r="F4" s="39" t="s">
        <v>39</v>
      </c>
      <c r="G4" s="39" t="s">
        <v>39</v>
      </c>
      <c r="H4" s="39" t="s">
        <v>196</v>
      </c>
      <c r="I4" s="39" t="s">
        <v>38</v>
      </c>
      <c r="J4" s="39" t="s">
        <v>51</v>
      </c>
      <c r="K4" s="39" t="s">
        <v>39</v>
      </c>
      <c r="L4" s="39" t="s">
        <v>39</v>
      </c>
      <c r="M4" s="39" t="s">
        <v>39</v>
      </c>
      <c r="N4" s="39" t="s">
        <v>39</v>
      </c>
      <c r="O4" s="39" t="s">
        <v>189</v>
      </c>
      <c r="P4" s="39" t="s">
        <v>189</v>
      </c>
      <c r="Q4" s="39" t="s">
        <v>189</v>
      </c>
      <c r="R4" s="39" t="s">
        <v>189</v>
      </c>
      <c r="S4" s="39" t="s">
        <v>195</v>
      </c>
      <c r="T4" s="92" t="s">
        <v>40</v>
      </c>
      <c r="U4" s="48" t="s">
        <v>70</v>
      </c>
      <c r="V4" s="20"/>
      <c r="W4" s="20"/>
      <c r="X4" s="20"/>
      <c r="Y4" s="20"/>
      <c r="Z4" s="20"/>
      <c r="AA4" s="20"/>
    </row>
    <row r="5" spans="1:27" ht="13.5" thickBot="1">
      <c r="A5" s="114"/>
      <c r="B5" s="32" t="s">
        <v>37</v>
      </c>
      <c r="C5" s="59" t="s">
        <v>38</v>
      </c>
      <c r="D5" s="87" t="s">
        <v>38</v>
      </c>
      <c r="E5" s="40" t="s">
        <v>150</v>
      </c>
      <c r="F5" s="40" t="s">
        <v>41</v>
      </c>
      <c r="G5" s="40" t="s">
        <v>41</v>
      </c>
      <c r="H5" s="40" t="s">
        <v>108</v>
      </c>
      <c r="I5" s="40" t="s">
        <v>38</v>
      </c>
      <c r="J5" s="40" t="s">
        <v>41</v>
      </c>
      <c r="K5" s="40" t="s">
        <v>41</v>
      </c>
      <c r="L5" s="40" t="s">
        <v>41</v>
      </c>
      <c r="M5" s="40" t="s">
        <v>41</v>
      </c>
      <c r="N5" s="40" t="s">
        <v>41</v>
      </c>
      <c r="O5" s="40" t="s">
        <v>41</v>
      </c>
      <c r="P5" s="40" t="s">
        <v>41</v>
      </c>
      <c r="Q5" s="40" t="s">
        <v>108</v>
      </c>
      <c r="R5" s="40" t="s">
        <v>108</v>
      </c>
      <c r="S5" s="40" t="s">
        <v>108</v>
      </c>
      <c r="T5" s="93" t="s">
        <v>153</v>
      </c>
      <c r="U5" s="47" t="s">
        <v>71</v>
      </c>
      <c r="V5" s="2"/>
      <c r="W5" s="2"/>
      <c r="X5" s="2"/>
      <c r="Y5" s="2"/>
      <c r="Z5" s="2"/>
      <c r="AA5" s="2"/>
    </row>
    <row r="6" spans="1:27" ht="12.75">
      <c r="A6" s="112" t="s">
        <v>46</v>
      </c>
      <c r="B6" s="33" t="s">
        <v>42</v>
      </c>
      <c r="C6" s="28">
        <v>29</v>
      </c>
      <c r="D6" s="72">
        <v>30.7</v>
      </c>
      <c r="E6" s="72">
        <v>31.7</v>
      </c>
      <c r="F6" s="72">
        <v>32.7</v>
      </c>
      <c r="G6" s="72">
        <v>34.7</v>
      </c>
      <c r="H6" s="72">
        <v>38</v>
      </c>
      <c r="I6" s="72">
        <v>31.7</v>
      </c>
      <c r="J6" s="72">
        <v>31.7</v>
      </c>
      <c r="K6" s="72">
        <v>33</v>
      </c>
      <c r="L6" s="72">
        <v>33.4</v>
      </c>
      <c r="M6" s="72">
        <v>33.1</v>
      </c>
      <c r="N6" s="72">
        <v>35</v>
      </c>
      <c r="O6" s="72">
        <v>35</v>
      </c>
      <c r="P6" s="72">
        <v>35.2</v>
      </c>
      <c r="Q6" s="72">
        <v>34.8</v>
      </c>
      <c r="R6" s="72">
        <v>36</v>
      </c>
      <c r="S6" s="72">
        <v>36</v>
      </c>
      <c r="T6" s="94">
        <v>44</v>
      </c>
      <c r="U6" s="47" t="s">
        <v>72</v>
      </c>
      <c r="V6" s="2"/>
      <c r="W6" s="2"/>
      <c r="X6" s="2"/>
      <c r="Y6" s="2"/>
      <c r="Z6" s="2"/>
      <c r="AA6" s="2"/>
    </row>
    <row r="7" spans="1:27" ht="12.75">
      <c r="A7" s="113"/>
      <c r="B7" s="33" t="s">
        <v>43</v>
      </c>
      <c r="C7" s="29">
        <v>10</v>
      </c>
      <c r="D7" s="73">
        <v>10.5</v>
      </c>
      <c r="E7" s="42">
        <v>11.5</v>
      </c>
      <c r="F7" s="42">
        <v>12.5</v>
      </c>
      <c r="G7" s="42">
        <v>12.5</v>
      </c>
      <c r="H7" s="42">
        <v>15.7</v>
      </c>
      <c r="I7" s="42">
        <v>10.5</v>
      </c>
      <c r="J7" s="42">
        <v>10.5</v>
      </c>
      <c r="K7" s="42">
        <v>12.4</v>
      </c>
      <c r="L7" s="42">
        <v>12.5</v>
      </c>
      <c r="M7" s="42">
        <v>13.9</v>
      </c>
      <c r="N7" s="42">
        <v>12.9</v>
      </c>
      <c r="O7" s="42">
        <v>12.9</v>
      </c>
      <c r="P7" s="42">
        <v>14.5</v>
      </c>
      <c r="Q7" s="42">
        <v>14.4</v>
      </c>
      <c r="R7" s="42">
        <v>15.6</v>
      </c>
      <c r="S7" s="42">
        <v>15.6</v>
      </c>
      <c r="T7" s="84">
        <v>18.5</v>
      </c>
      <c r="U7" s="47" t="s">
        <v>133</v>
      </c>
      <c r="V7" s="2"/>
      <c r="W7" s="2"/>
      <c r="X7" s="2"/>
      <c r="Y7" s="2"/>
      <c r="Z7" s="2"/>
      <c r="AA7" s="2"/>
    </row>
    <row r="8" spans="1:27" s="104" customFormat="1" ht="12.75">
      <c r="A8" s="113"/>
      <c r="B8" s="105" t="s">
        <v>174</v>
      </c>
      <c r="C8" s="29">
        <v>7</v>
      </c>
      <c r="D8" s="73">
        <v>8.5</v>
      </c>
      <c r="E8" s="42">
        <v>9</v>
      </c>
      <c r="F8" s="42">
        <v>10</v>
      </c>
      <c r="G8" s="42">
        <v>10</v>
      </c>
      <c r="H8" s="42">
        <v>12</v>
      </c>
      <c r="I8" s="42">
        <v>7.5</v>
      </c>
      <c r="J8" s="42">
        <v>7.5</v>
      </c>
      <c r="K8" s="42">
        <v>10</v>
      </c>
      <c r="L8" s="42">
        <v>10</v>
      </c>
      <c r="M8" s="42">
        <v>10</v>
      </c>
      <c r="N8" s="42">
        <v>10</v>
      </c>
      <c r="O8" s="42">
        <v>10</v>
      </c>
      <c r="P8" s="42">
        <v>11</v>
      </c>
      <c r="Q8" s="42">
        <v>11</v>
      </c>
      <c r="R8" s="42">
        <v>12</v>
      </c>
      <c r="S8" s="42">
        <v>12</v>
      </c>
      <c r="T8" s="84">
        <v>12</v>
      </c>
      <c r="U8" s="102" t="s">
        <v>166</v>
      </c>
      <c r="V8" s="103"/>
      <c r="W8" s="103"/>
      <c r="X8" s="103"/>
      <c r="Y8" s="103"/>
      <c r="Z8" s="103"/>
      <c r="AA8" s="103"/>
    </row>
    <row r="9" spans="1:27" ht="12.75">
      <c r="A9" s="113"/>
      <c r="B9" s="33" t="s">
        <v>167</v>
      </c>
      <c r="C9" s="29"/>
      <c r="D9" s="73"/>
      <c r="E9" s="42"/>
      <c r="F9" s="42"/>
      <c r="G9" s="42"/>
      <c r="H9" s="42">
        <v>12.2</v>
      </c>
      <c r="I9" s="42"/>
      <c r="J9" s="42"/>
      <c r="K9" s="42">
        <v>9.8</v>
      </c>
      <c r="L9" s="42">
        <v>10.6</v>
      </c>
      <c r="M9" s="42"/>
      <c r="N9" s="42">
        <v>10.2</v>
      </c>
      <c r="O9" s="42">
        <v>10.2</v>
      </c>
      <c r="P9" s="42">
        <v>12.2</v>
      </c>
      <c r="Q9" s="42"/>
      <c r="R9" s="42">
        <v>12.2</v>
      </c>
      <c r="S9" s="42">
        <v>12.2</v>
      </c>
      <c r="T9" s="84">
        <v>14</v>
      </c>
      <c r="U9" s="47" t="s">
        <v>172</v>
      </c>
      <c r="V9" s="2"/>
      <c r="W9" s="2"/>
      <c r="X9" s="2"/>
      <c r="Y9" s="2"/>
      <c r="Z9" s="2"/>
      <c r="AA9" s="2"/>
    </row>
    <row r="10" spans="1:27" ht="12.75">
      <c r="A10" s="113"/>
      <c r="B10" s="33" t="s">
        <v>168</v>
      </c>
      <c r="C10" s="29"/>
      <c r="D10" s="73"/>
      <c r="E10" s="42"/>
      <c r="F10" s="42"/>
      <c r="G10" s="42"/>
      <c r="H10" s="42">
        <v>97</v>
      </c>
      <c r="I10" s="42"/>
      <c r="J10" s="42"/>
      <c r="K10" s="42">
        <v>52</v>
      </c>
      <c r="L10" s="42">
        <v>67</v>
      </c>
      <c r="M10" s="42">
        <v>75</v>
      </c>
      <c r="N10" s="42">
        <v>64</v>
      </c>
      <c r="O10" s="42">
        <v>64</v>
      </c>
      <c r="P10" s="42">
        <v>83</v>
      </c>
      <c r="Q10" s="42">
        <v>84</v>
      </c>
      <c r="R10" s="42">
        <v>92</v>
      </c>
      <c r="S10" s="42">
        <v>92</v>
      </c>
      <c r="T10" s="84">
        <v>121</v>
      </c>
      <c r="U10" s="47" t="s">
        <v>173</v>
      </c>
      <c r="V10" s="2"/>
      <c r="W10" s="2"/>
      <c r="X10" s="2"/>
      <c r="Y10" s="2"/>
      <c r="Z10" s="2"/>
      <c r="AA10" s="2"/>
    </row>
    <row r="11" spans="1:27" ht="12.75">
      <c r="A11" s="113"/>
      <c r="B11" s="33" t="s">
        <v>60</v>
      </c>
      <c r="C11" s="29">
        <v>16</v>
      </c>
      <c r="D11" s="73">
        <v>15</v>
      </c>
      <c r="E11" s="42">
        <v>15</v>
      </c>
      <c r="F11" s="42">
        <v>15</v>
      </c>
      <c r="G11" s="42">
        <v>15</v>
      </c>
      <c r="H11" s="42">
        <v>15</v>
      </c>
      <c r="I11" s="42">
        <v>16</v>
      </c>
      <c r="J11" s="42">
        <v>16</v>
      </c>
      <c r="K11" s="42">
        <v>15</v>
      </c>
      <c r="L11" s="42">
        <v>15</v>
      </c>
      <c r="M11" s="42">
        <v>15</v>
      </c>
      <c r="N11" s="42">
        <v>15</v>
      </c>
      <c r="O11" s="42">
        <v>15</v>
      </c>
      <c r="P11" s="42">
        <v>15</v>
      </c>
      <c r="Q11" s="42">
        <v>15</v>
      </c>
      <c r="R11" s="42">
        <v>15</v>
      </c>
      <c r="S11" s="42">
        <v>15</v>
      </c>
      <c r="T11" s="84">
        <v>15</v>
      </c>
      <c r="U11" s="47" t="s">
        <v>73</v>
      </c>
      <c r="V11" s="2"/>
      <c r="W11" s="2"/>
      <c r="X11" s="2"/>
      <c r="Y11" s="2"/>
      <c r="Z11" s="2"/>
      <c r="AA11" s="2"/>
    </row>
    <row r="12" spans="1:27" ht="12.75">
      <c r="A12" s="113"/>
      <c r="B12" s="33" t="s">
        <v>61</v>
      </c>
      <c r="C12" s="43">
        <v>7</v>
      </c>
      <c r="D12" s="73">
        <v>7</v>
      </c>
      <c r="E12" s="42">
        <v>7</v>
      </c>
      <c r="F12" s="42">
        <v>10</v>
      </c>
      <c r="G12" s="42">
        <v>10</v>
      </c>
      <c r="H12" s="42">
        <v>14</v>
      </c>
      <c r="I12" s="42">
        <v>7</v>
      </c>
      <c r="J12" s="42">
        <v>7</v>
      </c>
      <c r="K12" s="42">
        <v>10</v>
      </c>
      <c r="L12" s="42">
        <v>10</v>
      </c>
      <c r="M12" s="42">
        <v>10</v>
      </c>
      <c r="N12" s="42">
        <v>10</v>
      </c>
      <c r="O12" s="42">
        <v>12</v>
      </c>
      <c r="P12" s="42">
        <v>12</v>
      </c>
      <c r="Q12" s="42">
        <v>12</v>
      </c>
      <c r="R12" s="42">
        <v>12</v>
      </c>
      <c r="S12" s="42">
        <v>14</v>
      </c>
      <c r="T12" s="84">
        <v>17</v>
      </c>
      <c r="U12" s="47" t="s">
        <v>74</v>
      </c>
      <c r="V12" s="2"/>
      <c r="W12" s="2"/>
      <c r="X12" s="2"/>
      <c r="Y12" s="2"/>
      <c r="Z12" s="2"/>
      <c r="AA12" s="2"/>
    </row>
    <row r="13" spans="1:27" ht="12.75">
      <c r="A13" s="113"/>
      <c r="B13" s="33" t="s">
        <v>27</v>
      </c>
      <c r="C13" s="29">
        <v>22</v>
      </c>
      <c r="D13" s="74">
        <v>22</v>
      </c>
      <c r="E13" s="41">
        <v>22</v>
      </c>
      <c r="F13" s="41">
        <v>-47</v>
      </c>
      <c r="G13" s="41">
        <v>-47</v>
      </c>
      <c r="H13" s="41">
        <v>-90</v>
      </c>
      <c r="I13" s="41">
        <v>22</v>
      </c>
      <c r="J13" s="41">
        <f>RimOffset Base-60</f>
        <v>-38</v>
      </c>
      <c r="K13" s="41">
        <v>-47</v>
      </c>
      <c r="L13" s="41">
        <v>-47</v>
      </c>
      <c r="M13" s="41">
        <v>-47</v>
      </c>
      <c r="N13" s="41">
        <v>-47</v>
      </c>
      <c r="O13" s="41">
        <v>-73</v>
      </c>
      <c r="P13" s="41">
        <v>-73</v>
      </c>
      <c r="Q13" s="41">
        <v>-73</v>
      </c>
      <c r="R13" s="41">
        <v>-73</v>
      </c>
      <c r="S13" s="41">
        <v>-90</v>
      </c>
      <c r="T13" s="75">
        <v>-150</v>
      </c>
      <c r="U13" s="47" t="s">
        <v>134</v>
      </c>
      <c r="V13" s="2"/>
      <c r="W13" s="2"/>
      <c r="X13" s="2"/>
      <c r="Y13" s="2"/>
      <c r="Z13" s="2"/>
      <c r="AA13" s="2"/>
    </row>
    <row r="14" spans="1:27" ht="12.75">
      <c r="A14" s="113"/>
      <c r="B14" s="33" t="s">
        <v>186</v>
      </c>
      <c r="C14" s="29" t="s">
        <v>188</v>
      </c>
      <c r="D14" s="41" t="s">
        <v>188</v>
      </c>
      <c r="E14" s="41" t="s">
        <v>188</v>
      </c>
      <c r="F14" s="41" t="s">
        <v>188</v>
      </c>
      <c r="G14" s="41" t="s">
        <v>188</v>
      </c>
      <c r="H14" s="41" t="s">
        <v>197</v>
      </c>
      <c r="I14" s="41" t="s">
        <v>188</v>
      </c>
      <c r="J14" s="41" t="s">
        <v>188</v>
      </c>
      <c r="K14" s="41" t="s">
        <v>188</v>
      </c>
      <c r="L14" s="41" t="s">
        <v>188</v>
      </c>
      <c r="M14" s="41" t="s">
        <v>188</v>
      </c>
      <c r="N14" s="41" t="s">
        <v>188</v>
      </c>
      <c r="O14" s="41" t="s">
        <v>188</v>
      </c>
      <c r="P14" s="41" t="s">
        <v>188</v>
      </c>
      <c r="Q14" s="41" t="s">
        <v>188</v>
      </c>
      <c r="R14" s="41" t="s">
        <v>188</v>
      </c>
      <c r="S14" s="41" t="s">
        <v>197</v>
      </c>
      <c r="T14" s="75" t="s">
        <v>187</v>
      </c>
      <c r="U14" s="47" t="s">
        <v>191</v>
      </c>
      <c r="V14" s="2"/>
      <c r="W14" s="2"/>
      <c r="X14" s="2"/>
      <c r="Y14" s="2"/>
      <c r="Z14" s="2"/>
      <c r="AA14" s="2"/>
    </row>
    <row r="15" spans="1:27" ht="13.5" thickBot="1">
      <c r="A15" s="113"/>
      <c r="B15" s="33" t="s">
        <v>180</v>
      </c>
      <c r="C15" s="83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75"/>
      <c r="U15" s="102" t="s">
        <v>183</v>
      </c>
      <c r="V15" s="2"/>
      <c r="W15" s="2"/>
      <c r="X15" s="2"/>
      <c r="Y15" s="2"/>
      <c r="Z15" s="2"/>
      <c r="AA15" s="2"/>
    </row>
    <row r="16" spans="1:27" ht="12.75">
      <c r="A16" s="113"/>
      <c r="B16" s="33" t="s">
        <v>1</v>
      </c>
      <c r="C16" s="100">
        <v>0</v>
      </c>
      <c r="D16" s="74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75">
        <v>40</v>
      </c>
      <c r="U16" s="47" t="s">
        <v>185</v>
      </c>
      <c r="V16" s="2"/>
      <c r="W16" s="2"/>
      <c r="X16" s="2"/>
      <c r="Y16" s="2"/>
      <c r="Z16" s="2"/>
      <c r="AA16" s="2"/>
    </row>
    <row r="17" spans="1:27" ht="12.75">
      <c r="A17" s="113"/>
      <c r="B17" s="33" t="s">
        <v>155</v>
      </c>
      <c r="C17" s="100">
        <v>0</v>
      </c>
      <c r="D17" s="74">
        <v>25</v>
      </c>
      <c r="E17" s="41">
        <v>25</v>
      </c>
      <c r="F17" s="41">
        <v>0</v>
      </c>
      <c r="G17" s="41">
        <v>0</v>
      </c>
      <c r="H17" s="41">
        <v>0</v>
      </c>
      <c r="I17" s="41">
        <v>40</v>
      </c>
      <c r="J17" s="41">
        <v>40</v>
      </c>
      <c r="K17" s="41">
        <v>50</v>
      </c>
      <c r="L17" s="41">
        <v>50</v>
      </c>
      <c r="M17" s="41">
        <v>50</v>
      </c>
      <c r="N17" s="41">
        <v>50</v>
      </c>
      <c r="O17" s="41">
        <v>50</v>
      </c>
      <c r="P17" s="41">
        <v>50</v>
      </c>
      <c r="Q17" s="41">
        <v>50</v>
      </c>
      <c r="R17" s="41">
        <v>50</v>
      </c>
      <c r="S17" s="41">
        <v>50</v>
      </c>
      <c r="T17" s="75">
        <v>0</v>
      </c>
      <c r="U17" s="47" t="s">
        <v>184</v>
      </c>
      <c r="V17" s="2"/>
      <c r="W17" s="2"/>
      <c r="X17" s="2"/>
      <c r="Y17" s="2"/>
      <c r="Z17" s="2"/>
      <c r="AA17" s="2"/>
    </row>
    <row r="18" spans="1:27" ht="12.75">
      <c r="A18" s="113"/>
      <c r="B18" s="33" t="s">
        <v>154</v>
      </c>
      <c r="C18" s="100">
        <v>0</v>
      </c>
      <c r="D18" s="74">
        <v>0</v>
      </c>
      <c r="E18" s="41">
        <v>0</v>
      </c>
      <c r="F18" s="41">
        <v>0</v>
      </c>
      <c r="G18" s="41">
        <v>0</v>
      </c>
      <c r="H18" s="41">
        <v>70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75">
        <v>70</v>
      </c>
      <c r="U18" s="47" t="s">
        <v>156</v>
      </c>
      <c r="V18" s="2"/>
      <c r="W18" s="2"/>
      <c r="X18" s="2"/>
      <c r="Y18" s="2"/>
      <c r="Z18" s="2"/>
      <c r="AA18" s="2"/>
    </row>
    <row r="19" spans="1:27" s="5" customFormat="1" ht="13.5" thickBot="1">
      <c r="A19" s="114"/>
      <c r="B19" s="34" t="s">
        <v>2</v>
      </c>
      <c r="C19" s="101">
        <v>0</v>
      </c>
      <c r="D19" s="76">
        <v>0</v>
      </c>
      <c r="E19" s="44">
        <v>0</v>
      </c>
      <c r="F19" s="44">
        <v>50</v>
      </c>
      <c r="G19" s="44">
        <v>100</v>
      </c>
      <c r="H19" s="44">
        <v>50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25</v>
      </c>
      <c r="O19" s="44">
        <v>25</v>
      </c>
      <c r="P19" s="44">
        <v>25</v>
      </c>
      <c r="Q19" s="44">
        <v>25</v>
      </c>
      <c r="R19" s="44">
        <v>50</v>
      </c>
      <c r="S19" s="44">
        <v>50</v>
      </c>
      <c r="T19" s="93">
        <v>100</v>
      </c>
      <c r="U19" s="49" t="s">
        <v>75</v>
      </c>
      <c r="V19" s="4"/>
      <c r="W19" s="4"/>
      <c r="X19" s="4"/>
      <c r="Y19" s="4"/>
      <c r="Z19" s="4"/>
      <c r="AA19" s="4"/>
    </row>
    <row r="20" spans="1:27" ht="12.75">
      <c r="A20" s="112" t="s">
        <v>49</v>
      </c>
      <c r="B20" s="64" t="s">
        <v>132</v>
      </c>
      <c r="C20" s="53">
        <f>IF(TireWeight_lbs,TireWeight_lbs*_XLL.UMWANDELN(1,"lbm","g")/1000,1.8*(0.01*TireHeight*TireWidth-(TireHeight+TireWidth))/100)</f>
        <v>15.846552</v>
      </c>
      <c r="D20" s="85">
        <f>IF(TireWeight_lbs,TireWeight_lbs*_XLL.UMWANDELN(1,"lbm","g")/1000,1.8*(0.01*TireHeight*TireWidth-(TireHeight+TireWidth))/100)</f>
        <v>18.597478680000002</v>
      </c>
      <c r="E20" s="10">
        <f>IF(TireWeight_lbs,TireWeight_lbs*_XLL.UMWANDELN(1,"lbm","g")/1000,1.8*(0.01*TireHeight*TireWidth-(TireHeight+TireWidth))/100)</f>
        <v>22.583714039999997</v>
      </c>
      <c r="F20" s="10">
        <f>IF(TireWeight_lbs,TireWeight_lbs*_XLL.UMWANDELN(1,"lbm","g")/1000,1.8*(0.01*TireHeight*TireWidth-(TireHeight+TireWidth))/100)</f>
        <v>26.802207000000013</v>
      </c>
      <c r="G20" s="10">
        <f>IF(TireWeight_lbs,TireWeight_lbs*_XLL.UMWANDELN(1,"lbm","g")/1000,1.8*(0.01*TireHeight*TireWidth-(TireHeight+TireWidth))/100)</f>
        <v>28.791027</v>
      </c>
      <c r="H20" s="10">
        <f>IF(TireWeight_lbs,TireWeight_lbs*_XLL.UMWANDELN(1,"lbm","g")/1000,1.8*(0.01*TireHeight*TireWidth-(TireHeight+TireWidth))/100)</f>
        <v>43.998454045634716</v>
      </c>
      <c r="I20" s="10">
        <f>IF(TireWeight_lbs,TireWeight_lbs*_XLL.UMWANDELN(1,"lbm","g")/1000,1.8*(0.01*TireHeight*TireWidth-(TireHeight+TireWidth))/100)</f>
        <v>19.35963108</v>
      </c>
      <c r="J20" s="10">
        <f>IF(TireWeight_lbs,TireWeight_lbs*_XLL.UMWANDELN(1,"lbm","g")/1000,1.8*(0.01*TireHeight*TireWidth-(TireHeight+TireWidth))/100)</f>
        <v>19.35963108</v>
      </c>
      <c r="K20" s="10">
        <f>IF(TireWeight_lbs,TireWeight_lbs*_XLL.UMWANDELN(1,"lbm","g")/1000,1.8*(0.01*TireHeight*TireWidth-(TireHeight+TireWidth))/100)</f>
        <v>23.586800106938195</v>
      </c>
      <c r="L20" s="10">
        <f>IF(TireWeight_lbs,TireWeight_lbs*_XLL.UMWANDELN(1,"lbm","g")/1000,1.8*(0.01*TireHeight*TireWidth-(TireHeight+TireWidth))/100)</f>
        <v>30.39068475317037</v>
      </c>
      <c r="M20" s="10">
        <f>IF(TireWeight_lbs,TireWeight_lbs*_XLL.UMWANDELN(1,"lbm","g")/1000,1.8*(0.01*TireHeight*TireWidth-(TireHeight+TireWidth))/100)</f>
        <v>34.019423231160864</v>
      </c>
      <c r="N20" s="10">
        <f>IF(TireWeight_lbs,TireWeight_lbs*_XLL.UMWANDELN(1,"lbm","g")/1000,1.8*(0.01*TireHeight*TireWidth-(TireHeight+TireWidth))/100)</f>
        <v>29.029907823923935</v>
      </c>
      <c r="O20" s="10">
        <f>IF(TireWeight_lbs,TireWeight_lbs*_XLL.UMWANDELN(1,"lbm","g")/1000,1.8*(0.01*TireHeight*TireWidth-(TireHeight+TireWidth))/100)</f>
        <v>29.029907823923935</v>
      </c>
      <c r="P20" s="10">
        <f>IF(TireWeight_lbs,TireWeight_lbs*_XLL.UMWANDELN(1,"lbm","g")/1000,1.8*(0.01*TireHeight*TireWidth-(TireHeight+TireWidth))/100)</f>
        <v>37.64816170915135</v>
      </c>
      <c r="Q20" s="10">
        <f>IF(TireWeight_lbs,TireWeight_lbs*_XLL.UMWANDELN(1,"lbm","g")/1000,1.8*(0.01*TireHeight*TireWidth-(TireHeight+TireWidth))/100)</f>
        <v>38.101754018900166</v>
      </c>
      <c r="R20" s="10">
        <f>IF(TireWeight_lbs,TireWeight_lbs*_XLL.UMWANDELN(1,"lbm","g")/1000,1.8*(0.01*TireHeight*TireWidth-(TireHeight+TireWidth))/100)</f>
        <v>41.730492496890655</v>
      </c>
      <c r="S20" s="10">
        <f>IF(TireWeight_lbs,TireWeight_lbs*_XLL.UMWANDELN(1,"lbm","g")/1000,1.8*(0.01*TireHeight*TireWidth-(TireHeight+TireWidth))/100)</f>
        <v>41.730492496890655</v>
      </c>
      <c r="T20" s="11">
        <f>IF(TireWeight_lbs,TireWeight_lbs*_XLL.UMWANDELN(1,"lbm","g")/1000,1.8*(0.01*TireHeight*TireWidth-(TireHeight+TireWidth))/100)</f>
        <v>54.884669479606195</v>
      </c>
      <c r="U20" s="47" t="s">
        <v>182</v>
      </c>
      <c r="V20" s="2"/>
      <c r="W20" s="2"/>
      <c r="X20" s="2"/>
      <c r="Y20" s="2"/>
      <c r="Z20" s="2"/>
      <c r="AA20" s="2"/>
    </row>
    <row r="21" spans="1:27" ht="13.5" thickBot="1">
      <c r="A21" s="113"/>
      <c r="B21" s="65" t="s">
        <v>181</v>
      </c>
      <c r="C21" s="7">
        <f>IF(RimWeight_lbs,RimWeight_lbs,IF(RimMat="A",20+1.5*(RimWidth_in-8),28+2*(RimWidth_in-8)))*_XLL.UMWANDELN(1,"lbm","g")/1000</f>
        <v>8.391457730353013</v>
      </c>
      <c r="D21" s="67">
        <f>IF(RimWeight_lbs,RimWeight_lbs,IF(RimMat="A",20+1.5*(RimWidth_in-8),28+2*(RimWidth_in-8)))*_XLL.UMWANDELN(1,"lbm","g")/1000</f>
        <v>8.391457730353013</v>
      </c>
      <c r="E21" s="12">
        <f>IF(RimWeight_lbs,RimWeight_lbs,IF(RimMat="A",20+1.5*(RimWidth_in-8),28+2*(RimWidth_in-8)))*_XLL.UMWANDELN(1,"lbm","g")/1000</f>
        <v>8.391457730353013</v>
      </c>
      <c r="F21" s="12">
        <f>IF(RimWeight_lbs,RimWeight_lbs,IF(RimMat="A",20+1.5*(RimWidth_in-8),28+2*(RimWidth_in-8)))*_XLL.UMWANDELN(1,"lbm","g")/1000</f>
        <v>10.432623124222664</v>
      </c>
      <c r="G21" s="12">
        <f>IF(RimWeight_lbs,RimWeight_lbs,IF(RimMat="A",20+1.5*(RimWidth_in-8),28+2*(RimWidth_in-8)))*_XLL.UMWANDELN(1,"lbm","g")/1000</f>
        <v>10.432623124222664</v>
      </c>
      <c r="H21" s="12">
        <f>IF(RimWeight_lbs,RimWeight_lbs,IF(RimMat="A",20+1.5*(RimWidth_in-8),28+2*(RimWidth_in-8)))*_XLL.UMWANDELN(1,"lbm","g")/1000</f>
        <v>18.14369238995246</v>
      </c>
      <c r="I21" s="12">
        <f>IF(RimWeight_lbs,RimWeight_lbs,IF(RimMat="A",20+1.5*(RimWidth_in-8),28+2*(RimWidth_in-8)))*_XLL.UMWANDELN(1,"lbm","g")/1000</f>
        <v>8.391457730353013</v>
      </c>
      <c r="J21" s="12">
        <f>IF(RimWeight_lbs,RimWeight_lbs,IF(RimMat="A",20+1.5*(RimWidth_in-8),28+2*(RimWidth_in-8)))*_XLL.UMWANDELN(1,"lbm","g")/1000</f>
        <v>8.391457730353013</v>
      </c>
      <c r="K21" s="12">
        <f>IF(RimWeight_lbs,RimWeight_lbs,IF(RimMat="A",20+1.5*(RimWidth_in-8),28+2*(RimWidth_in-8)))*_XLL.UMWANDELN(1,"lbm","g")/1000</f>
        <v>10.432623124222664</v>
      </c>
      <c r="L21" s="12">
        <f>IF(RimWeight_lbs,RimWeight_lbs,IF(RimMat="A",20+1.5*(RimWidth_in-8),28+2*(RimWidth_in-8)))*_XLL.UMWANDELN(1,"lbm","g")/1000</f>
        <v>10.432623124222664</v>
      </c>
      <c r="M21" s="12">
        <f>IF(RimWeight_lbs,RimWeight_lbs,IF(RimMat="A",20+1.5*(RimWidth_in-8),28+2*(RimWidth_in-8)))*_XLL.UMWANDELN(1,"lbm","g")/1000</f>
        <v>10.432623124222664</v>
      </c>
      <c r="N21" s="12">
        <f>IF(RimWeight_lbs,RimWeight_lbs,IF(RimMat="A",20+1.5*(RimWidth_in-8),28+2*(RimWidth_in-8)))*_XLL.UMWANDELN(1,"lbm","g")/1000</f>
        <v>10.432623124222664</v>
      </c>
      <c r="O21" s="12">
        <f>IF(RimWeight_lbs,RimWeight_lbs,IF(RimMat="A",20+1.5*(RimWidth_in-8),28+2*(RimWidth_in-8)))*_XLL.UMWANDELN(1,"lbm","g")/1000</f>
        <v>11.793400053469098</v>
      </c>
      <c r="P21" s="12">
        <f>IF(RimWeight_lbs,RimWeight_lbs,IF(RimMat="A",20+1.5*(RimWidth_in-8),28+2*(RimWidth_in-8)))*_XLL.UMWANDELN(1,"lbm","g")/1000</f>
        <v>11.793400053469098</v>
      </c>
      <c r="Q21" s="12">
        <f>IF(RimWeight_lbs,RimWeight_lbs,IF(RimMat="A",20+1.5*(RimWidth_in-8),28+2*(RimWidth_in-8)))*_XLL.UMWANDELN(1,"lbm","g")/1000</f>
        <v>11.793400053469098</v>
      </c>
      <c r="R21" s="12">
        <f>IF(RimWeight_lbs,RimWeight_lbs,IF(RimMat="A",20+1.5*(RimWidth_in-8),28+2*(RimWidth_in-8)))*_XLL.UMWANDELN(1,"lbm","g")/1000</f>
        <v>11.793400053469098</v>
      </c>
      <c r="S21" s="12">
        <f>IF(RimWeight_lbs,RimWeight_lbs,IF(RimMat="A",20+1.5*(RimWidth_in-8),28+2*(RimWidth_in-8)))*_XLL.UMWANDELN(1,"lbm","g")/1000</f>
        <v>18.14369238995246</v>
      </c>
      <c r="T21" s="13">
        <f>IF(RimWeight_lbs,RimWeight_lbs,IF(RimMat="A",20+1.5*(RimWidth_in-8),28+2*(RimWidth_in-8)))*_XLL.UMWANDELN(1,"lbm","g")/1000</f>
        <v>20.865246248445327</v>
      </c>
      <c r="U21" s="47" t="s">
        <v>190</v>
      </c>
      <c r="V21" s="2"/>
      <c r="W21" s="2"/>
      <c r="X21" s="2"/>
      <c r="Y21" s="2"/>
      <c r="Z21" s="2"/>
      <c r="AA21" s="2"/>
    </row>
    <row r="22" spans="1:27" ht="12.75">
      <c r="A22" s="113"/>
      <c r="B22" s="65" t="s">
        <v>8</v>
      </c>
      <c r="C22" s="28">
        <f>150+4*(TireMass+RimMass)</f>
        <v>246.95203892141205</v>
      </c>
      <c r="D22" s="67">
        <f aca="true" t="shared" si="0" ref="D22:T22">150+4*(TireMass+RimMass)</f>
        <v>257.955745641412</v>
      </c>
      <c r="E22" s="12">
        <f t="shared" si="0"/>
        <v>273.900687081412</v>
      </c>
      <c r="F22" s="12">
        <f t="shared" si="0"/>
        <v>298.9393204968907</v>
      </c>
      <c r="G22" s="12">
        <f t="shared" si="0"/>
        <v>306.8946004968907</v>
      </c>
      <c r="H22" s="12">
        <f t="shared" si="0"/>
        <v>398.5685857423487</v>
      </c>
      <c r="I22" s="12">
        <f t="shared" si="0"/>
        <v>261.00435524141204</v>
      </c>
      <c r="J22" s="12">
        <f t="shared" si="0"/>
        <v>261.00435524141204</v>
      </c>
      <c r="K22" s="12">
        <f t="shared" si="0"/>
        <v>286.07769292464343</v>
      </c>
      <c r="L22" s="12">
        <f t="shared" si="0"/>
        <v>313.29323150957214</v>
      </c>
      <c r="M22" s="12">
        <f t="shared" si="0"/>
        <v>327.8081854215341</v>
      </c>
      <c r="N22" s="12">
        <f t="shared" si="0"/>
        <v>307.8501237925864</v>
      </c>
      <c r="O22" s="12">
        <f t="shared" si="0"/>
        <v>313.29323150957214</v>
      </c>
      <c r="P22" s="12">
        <f t="shared" si="0"/>
        <v>347.7662470504818</v>
      </c>
      <c r="Q22" s="12">
        <f t="shared" si="0"/>
        <v>349.58061628947706</v>
      </c>
      <c r="R22" s="12">
        <f t="shared" si="0"/>
        <v>364.09557020143905</v>
      </c>
      <c r="S22" s="12">
        <f t="shared" si="0"/>
        <v>389.49673954737244</v>
      </c>
      <c r="T22" s="13">
        <f t="shared" si="0"/>
        <v>452.9996629122061</v>
      </c>
      <c r="U22" s="47" t="s">
        <v>79</v>
      </c>
      <c r="V22" s="2"/>
      <c r="W22" s="2"/>
      <c r="X22" s="2"/>
      <c r="Y22" s="2"/>
      <c r="Z22" s="2"/>
      <c r="AA22" s="2"/>
    </row>
    <row r="23" spans="1:27" ht="12.75">
      <c r="A23" s="113"/>
      <c r="B23" s="65" t="s">
        <v>3</v>
      </c>
      <c r="C23" s="29">
        <f>HubHeight*1.15</f>
        <v>389.36929999999995</v>
      </c>
      <c r="D23" s="67">
        <f>WheelgroupCG Base*HubHeight/HubHeight Base</f>
        <v>407.09976999999986</v>
      </c>
      <c r="E23" s="12">
        <f>WheelgroupCG Base*HubHeight/HubHeight Base</f>
        <v>419.07586999999995</v>
      </c>
      <c r="F23" s="12">
        <f>WheelgroupCG Base*HubHeight/HubHeight Base</f>
        <v>431.0519699999999</v>
      </c>
      <c r="G23" s="12">
        <f>WheelgroupCG Base*HubHeight/HubHeight Base</f>
        <v>455.00416999999993</v>
      </c>
      <c r="H23" s="12">
        <f>WheelgroupCG Base*HubHeight/HubHeight Base</f>
        <v>494.52529999999985</v>
      </c>
      <c r="I23" s="12">
        <f>WheelgroupCG Base*HubHeight/HubHeight Base</f>
        <v>421.7047699999999</v>
      </c>
      <c r="J23" s="12">
        <f>WheelgroupCG Base*HubHeight/HubHeight Base</f>
        <v>421.7047699999999</v>
      </c>
      <c r="K23" s="12">
        <f>WheelgroupCG Base*HubHeight/HubHeight Base</f>
        <v>434.6447999999999</v>
      </c>
      <c r="L23" s="12">
        <f>WheelgroupCG Base*HubHeight/HubHeight Base</f>
        <v>439.43523999999985</v>
      </c>
      <c r="M23" s="12">
        <f>WheelgroupCG Base*HubHeight/HubHeight Base</f>
        <v>435.84240999999986</v>
      </c>
      <c r="N23" s="12">
        <f>WheelgroupCG Base*HubHeight/HubHeight Base</f>
        <v>458.5969999999999</v>
      </c>
      <c r="O23" s="12">
        <f>WheelgroupCG Base*HubHeight/HubHeight Base</f>
        <v>458.5969999999999</v>
      </c>
      <c r="P23" s="12">
        <f>WheelgroupCG Base*HubHeight/HubHeight Base</f>
        <v>460.9922199999999</v>
      </c>
      <c r="Q23" s="12">
        <f>WheelgroupCG Base*HubHeight/HubHeight Base</f>
        <v>456.20177999999987</v>
      </c>
      <c r="R23" s="12">
        <f>WheelgroupCG Base*HubHeight/HubHeight Base</f>
        <v>470.57309999999995</v>
      </c>
      <c r="S23" s="12">
        <f>WheelgroupCG Base*HubHeight/HubHeight Base</f>
        <v>470.57309999999995</v>
      </c>
      <c r="T23" s="13">
        <f>WheelgroupCG Base*HubHeight/HubHeight Base</f>
        <v>566.3818999999999</v>
      </c>
      <c r="U23" s="47" t="s">
        <v>80</v>
      </c>
      <c r="V23" s="2"/>
      <c r="W23" s="2"/>
      <c r="X23" s="2"/>
      <c r="Y23" s="2"/>
      <c r="Z23" s="2"/>
      <c r="AA23" s="2"/>
    </row>
    <row r="24" spans="1:27" ht="12.75">
      <c r="A24" s="113"/>
      <c r="B24" s="65" t="s">
        <v>9</v>
      </c>
      <c r="C24" s="29">
        <v>900</v>
      </c>
      <c r="D24" s="67">
        <f>FrameGroupMass Base</f>
        <v>900</v>
      </c>
      <c r="E24" s="12">
        <f>FrameGroupMass Base</f>
        <v>900</v>
      </c>
      <c r="F24" s="12">
        <f>FrameGroupMass Base</f>
        <v>900</v>
      </c>
      <c r="G24" s="12">
        <f>FrameGroupMass Base</f>
        <v>900</v>
      </c>
      <c r="H24" s="12">
        <f>FrameGroupMass Base</f>
        <v>900</v>
      </c>
      <c r="I24" s="12">
        <f>FrameGroupMass Base</f>
        <v>900</v>
      </c>
      <c r="J24" s="12">
        <f>FrameGroupMass Base</f>
        <v>900</v>
      </c>
      <c r="K24" s="12">
        <f>FrameGroupMass Base</f>
        <v>900</v>
      </c>
      <c r="L24" s="12">
        <f>FrameGroupMass Base</f>
        <v>900</v>
      </c>
      <c r="M24" s="12">
        <f>FrameGroupMass Base</f>
        <v>900</v>
      </c>
      <c r="N24" s="12">
        <f>FrameGroupMass Base</f>
        <v>900</v>
      </c>
      <c r="O24" s="12">
        <f>FrameGroupMass Base</f>
        <v>900</v>
      </c>
      <c r="P24" s="12">
        <f>FrameGroupMass Base</f>
        <v>900</v>
      </c>
      <c r="Q24" s="12">
        <f>FrameGroupMass Base</f>
        <v>900</v>
      </c>
      <c r="R24" s="12">
        <f>FrameGroupMass Base</f>
        <v>900</v>
      </c>
      <c r="S24" s="12">
        <f>FrameGroupMass Base</f>
        <v>900</v>
      </c>
      <c r="T24" s="13">
        <f>FrameGroupMass Base</f>
        <v>900</v>
      </c>
      <c r="U24" s="47" t="s">
        <v>81</v>
      </c>
      <c r="V24" s="2"/>
      <c r="W24" s="2"/>
      <c r="X24" s="2"/>
      <c r="Y24" s="2"/>
      <c r="Z24" s="2"/>
      <c r="AA24" s="2"/>
    </row>
    <row r="25" spans="1:27" ht="12.75">
      <c r="A25" s="113"/>
      <c r="B25" s="65" t="s">
        <v>4</v>
      </c>
      <c r="C25" s="29">
        <f>FrameClearance+200</f>
        <v>478.582</v>
      </c>
      <c r="D25" s="67">
        <f>FrameGroupCG Base+FrameClearance-FrameClearance Base</f>
        <v>518.9997999999999</v>
      </c>
      <c r="E25" s="12">
        <f>FrameGroupCG Base+FrameClearance-FrameClearance Base</f>
        <v>529.4137999999999</v>
      </c>
      <c r="F25" s="12">
        <f>FrameGroupCG Base+FrameClearance-FrameClearance Base</f>
        <v>514.8278</v>
      </c>
      <c r="G25" s="12">
        <f>FrameGroupCG Base+FrameClearance-FrameClearance Base</f>
        <v>535.6558</v>
      </c>
      <c r="H25" s="12">
        <f>FrameGroupCG Base+FrameClearance-FrameClearance Base</f>
        <v>640.0219999999999</v>
      </c>
      <c r="I25" s="12">
        <f>FrameGroupCG Base+FrameClearance-FrameClearance Base</f>
        <v>546.6998</v>
      </c>
      <c r="J25" s="12">
        <f>FrameGroupCG Base+FrameClearance-FrameClearance Base</f>
        <v>546.6998</v>
      </c>
      <c r="K25" s="12">
        <f>FrameGroupCG Base+FrameClearance-FrameClearance Base</f>
        <v>567.952</v>
      </c>
      <c r="L25" s="12">
        <f>FrameGroupCG Base+FrameClearance-FrameClearance Base</f>
        <v>572.1175999999999</v>
      </c>
      <c r="M25" s="12">
        <f>FrameGroupCG Base+FrameClearance-FrameClearance Base</f>
        <v>568.9934</v>
      </c>
      <c r="N25" s="12">
        <f>FrameGroupCG Base+FrameClearance-FrameClearance Base</f>
        <v>588.78</v>
      </c>
      <c r="O25" s="12">
        <f>FrameGroupCG Base+FrameClearance-FrameClearance Base</f>
        <v>588.78</v>
      </c>
      <c r="P25" s="12">
        <f>FrameGroupCG Base+FrameClearance-FrameClearance Base</f>
        <v>590.8628</v>
      </c>
      <c r="Q25" s="12">
        <f>FrameGroupCG Base+FrameClearance-FrameClearance Base</f>
        <v>586.6972</v>
      </c>
      <c r="R25" s="12">
        <f>FrameGroupCG Base+FrameClearance-FrameClearance Base</f>
        <v>599.194</v>
      </c>
      <c r="S25" s="12">
        <f>FrameGroupCG Base+FrameClearance-FrameClearance Base</f>
        <v>599.194</v>
      </c>
      <c r="T25" s="13">
        <f>FrameGroupCG Base+FrameClearance-FrameClearance Base</f>
        <v>742.506</v>
      </c>
      <c r="U25" s="47" t="s">
        <v>82</v>
      </c>
      <c r="V25" s="2"/>
      <c r="W25" s="2"/>
      <c r="X25" s="2"/>
      <c r="Y25" s="2"/>
      <c r="Z25" s="2"/>
      <c r="AA25" s="2"/>
    </row>
    <row r="26" spans="1:27" ht="12.75">
      <c r="A26" s="113"/>
      <c r="B26" s="65" t="s">
        <v>10</v>
      </c>
      <c r="C26" s="29">
        <v>750</v>
      </c>
      <c r="D26" s="67">
        <f>BodyGroupMass Base</f>
        <v>750</v>
      </c>
      <c r="E26" s="12">
        <f>BodyGroupMass Base</f>
        <v>750</v>
      </c>
      <c r="F26" s="12">
        <f>BodyGroupMass Base</f>
        <v>750</v>
      </c>
      <c r="G26" s="12">
        <f>BodyGroupMass Base</f>
        <v>750</v>
      </c>
      <c r="H26" s="12">
        <f>BodyGroupMass Base</f>
        <v>750</v>
      </c>
      <c r="I26" s="12">
        <f>BodyGroupMass Base</f>
        <v>750</v>
      </c>
      <c r="J26" s="12">
        <f>BodyGroupMass Base</f>
        <v>750</v>
      </c>
      <c r="K26" s="12">
        <f>BodyGroupMass Base</f>
        <v>750</v>
      </c>
      <c r="L26" s="12">
        <f>BodyGroupMass Base</f>
        <v>750</v>
      </c>
      <c r="M26" s="12">
        <f>BodyGroupMass Base</f>
        <v>750</v>
      </c>
      <c r="N26" s="12">
        <f>BodyGroupMass Base</f>
        <v>750</v>
      </c>
      <c r="O26" s="12">
        <f>BodyGroupMass Base</f>
        <v>750</v>
      </c>
      <c r="P26" s="12">
        <f>BodyGroupMass Base</f>
        <v>750</v>
      </c>
      <c r="Q26" s="12">
        <f>BodyGroupMass Base</f>
        <v>750</v>
      </c>
      <c r="R26" s="12">
        <f>BodyGroupMass Base</f>
        <v>750</v>
      </c>
      <c r="S26" s="12">
        <f>BodyGroupMass Base</f>
        <v>750</v>
      </c>
      <c r="T26" s="13">
        <f>BodyGroupMass Base</f>
        <v>750</v>
      </c>
      <c r="U26" s="47" t="s">
        <v>83</v>
      </c>
      <c r="V26" s="2"/>
      <c r="W26" s="2"/>
      <c r="X26" s="2"/>
      <c r="Y26" s="2"/>
      <c r="Z26" s="2"/>
      <c r="AA26" s="2"/>
    </row>
    <row r="27" spans="1:27" ht="12.75">
      <c r="A27" s="113"/>
      <c r="B27" s="65" t="s">
        <v>5</v>
      </c>
      <c r="C27" s="29">
        <f>BodyClearance+500</f>
        <v>838.582</v>
      </c>
      <c r="D27" s="67">
        <f>BodyGroupCG Base+BodyClearance-BodyClearance Base</f>
        <v>878.9997999999999</v>
      </c>
      <c r="E27" s="12">
        <f>BodyGroupCG Base+BodyClearance-BodyClearance Base</f>
        <v>889.4137999999999</v>
      </c>
      <c r="F27" s="12">
        <f>BodyGroupCG Base+BodyClearance-BodyClearance Base</f>
        <v>924.8277999999999</v>
      </c>
      <c r="G27" s="12">
        <f>BodyGroupCG Base+BodyClearance-BodyClearance Base</f>
        <v>995.6557999999999</v>
      </c>
      <c r="H27" s="12">
        <f>BodyGroupCG Base+BodyClearance-BodyClearance Base</f>
        <v>1050.022</v>
      </c>
      <c r="I27" s="12">
        <f>BodyGroupCG Base+BodyClearance-BodyClearance Base</f>
        <v>906.6998</v>
      </c>
      <c r="J27" s="12">
        <f>BodyGroupCG Base+BodyClearance-BodyClearance Base</f>
        <v>906.6998</v>
      </c>
      <c r="K27" s="12">
        <f>BodyGroupCG Base+BodyClearance-BodyClearance Base</f>
        <v>927.9520000000001</v>
      </c>
      <c r="L27" s="12">
        <f>BodyGroupCG Base+BodyClearance-BodyClearance Base</f>
        <v>932.1175999999999</v>
      </c>
      <c r="M27" s="12">
        <f>BodyGroupCG Base+BodyClearance-BodyClearance Base</f>
        <v>928.9934</v>
      </c>
      <c r="N27" s="12">
        <f>BodyGroupCG Base+BodyClearance-BodyClearance Base</f>
        <v>973.7800000000001</v>
      </c>
      <c r="O27" s="12">
        <f>BodyGroupCG Base+BodyClearance-BodyClearance Base</f>
        <v>973.7800000000001</v>
      </c>
      <c r="P27" s="12">
        <f>BodyGroupCG Base+BodyClearance-BodyClearance Base</f>
        <v>975.8628</v>
      </c>
      <c r="Q27" s="12">
        <f>BodyGroupCG Base+BodyClearance-BodyClearance Base</f>
        <v>971.6972</v>
      </c>
      <c r="R27" s="12">
        <f>BodyGroupCG Base+BodyClearance-BodyClearance Base</f>
        <v>1009.1939999999998</v>
      </c>
      <c r="S27" s="12">
        <f>BodyGroupCG Base+BodyClearance-BodyClearance Base</f>
        <v>1009.1939999999998</v>
      </c>
      <c r="T27" s="13">
        <f>BodyGroupCG Base+BodyClearance-BodyClearance Base</f>
        <v>1202.5059999999999</v>
      </c>
      <c r="U27" s="47" t="s">
        <v>84</v>
      </c>
      <c r="V27" s="2"/>
      <c r="W27" s="2"/>
      <c r="X27" s="2"/>
      <c r="Y27" s="2"/>
      <c r="Z27" s="2"/>
      <c r="AA27" s="2"/>
    </row>
    <row r="28" spans="1:27" ht="12.75">
      <c r="A28" s="113"/>
      <c r="B28" s="65" t="s">
        <v>11</v>
      </c>
      <c r="C28" s="29">
        <v>500</v>
      </c>
      <c r="D28" s="67">
        <f>PayloadMass Base</f>
        <v>500</v>
      </c>
      <c r="E28" s="12">
        <f>PayloadMass Base</f>
        <v>500</v>
      </c>
      <c r="F28" s="12">
        <f>PayloadMass Base</f>
        <v>500</v>
      </c>
      <c r="G28" s="12">
        <f>PayloadMass Base</f>
        <v>500</v>
      </c>
      <c r="H28" s="12">
        <f>PayloadMass Base</f>
        <v>500</v>
      </c>
      <c r="I28" s="12">
        <f>PayloadMass Base</f>
        <v>500</v>
      </c>
      <c r="J28" s="12">
        <f>PayloadMass Base</f>
        <v>500</v>
      </c>
      <c r="K28" s="12">
        <f>PayloadMass Base</f>
        <v>500</v>
      </c>
      <c r="L28" s="12">
        <f>PayloadMass Base</f>
        <v>500</v>
      </c>
      <c r="M28" s="12">
        <f>PayloadMass Base</f>
        <v>500</v>
      </c>
      <c r="N28" s="12">
        <f>PayloadMass Base</f>
        <v>500</v>
      </c>
      <c r="O28" s="12">
        <f>PayloadMass Base</f>
        <v>500</v>
      </c>
      <c r="P28" s="12">
        <f>PayloadMass Base</f>
        <v>500</v>
      </c>
      <c r="Q28" s="12">
        <f>PayloadMass Base</f>
        <v>500</v>
      </c>
      <c r="R28" s="12">
        <f>PayloadMass Base</f>
        <v>500</v>
      </c>
      <c r="S28" s="12">
        <f>PayloadMass Base</f>
        <v>500</v>
      </c>
      <c r="T28" s="13">
        <f>PayloadMass Base</f>
        <v>500</v>
      </c>
      <c r="U28" s="47" t="s">
        <v>140</v>
      </c>
      <c r="V28" s="2"/>
      <c r="W28" s="2"/>
      <c r="X28" s="2"/>
      <c r="Y28" s="2"/>
      <c r="Z28" s="2"/>
      <c r="AA28" s="2"/>
    </row>
    <row r="29" spans="1:27" ht="12.75">
      <c r="A29" s="113"/>
      <c r="B29" s="65" t="s">
        <v>6</v>
      </c>
      <c r="C29" s="29">
        <f>BodyClearance+600</f>
        <v>938.582</v>
      </c>
      <c r="D29" s="67">
        <f>PayloadCG Base+BodyClearance-BodyClearance Base</f>
        <v>978.9997999999999</v>
      </c>
      <c r="E29" s="12">
        <f>PayloadCG Base+BodyClearance-BodyClearance Base</f>
        <v>989.4137999999999</v>
      </c>
      <c r="F29" s="12">
        <f>PayloadCG Base+BodyClearance-BodyClearance Base</f>
        <v>1024.8278</v>
      </c>
      <c r="G29" s="12">
        <f>PayloadCG Base+BodyClearance-BodyClearance Base</f>
        <v>1095.6558</v>
      </c>
      <c r="H29" s="12">
        <f>PayloadCG Base+BodyClearance-BodyClearance Base</f>
        <v>1150.022</v>
      </c>
      <c r="I29" s="12">
        <f>PayloadCG Base+BodyClearance-BodyClearance Base</f>
        <v>1006.6998</v>
      </c>
      <c r="J29" s="12">
        <f>PayloadCG Base+BodyClearance-BodyClearance Base</f>
        <v>1006.6998</v>
      </c>
      <c r="K29" s="12">
        <f>PayloadCG Base+BodyClearance-BodyClearance Base</f>
        <v>1027.9520000000002</v>
      </c>
      <c r="L29" s="12">
        <f>PayloadCG Base+BodyClearance-BodyClearance Base</f>
        <v>1032.1176</v>
      </c>
      <c r="M29" s="12">
        <f>PayloadCG Base+BodyClearance-BodyClearance Base</f>
        <v>1028.9933999999998</v>
      </c>
      <c r="N29" s="12">
        <f>PayloadCG Base+BodyClearance-BodyClearance Base</f>
        <v>1073.7800000000002</v>
      </c>
      <c r="O29" s="12">
        <f>PayloadCG Base+BodyClearance-BodyClearance Base</f>
        <v>1073.7800000000002</v>
      </c>
      <c r="P29" s="12">
        <f>PayloadCG Base+BodyClearance-BodyClearance Base</f>
        <v>1075.8627999999999</v>
      </c>
      <c r="Q29" s="12">
        <f>PayloadCG Base+BodyClearance-BodyClearance Base</f>
        <v>1071.6972</v>
      </c>
      <c r="R29" s="12">
        <f>PayloadCG Base+BodyClearance-BodyClearance Base</f>
        <v>1109.194</v>
      </c>
      <c r="S29" s="12">
        <f>PayloadCG Base+BodyClearance-BodyClearance Base</f>
        <v>1109.194</v>
      </c>
      <c r="T29" s="13">
        <f>PayloadCG Base+BodyClearance-BodyClearance Base</f>
        <v>1302.5059999999999</v>
      </c>
      <c r="U29" s="47" t="s">
        <v>141</v>
      </c>
      <c r="V29" s="2"/>
      <c r="W29" s="2"/>
      <c r="X29" s="2"/>
      <c r="Y29" s="2"/>
      <c r="Z29" s="2"/>
      <c r="AA29" s="2"/>
    </row>
    <row r="30" spans="1:27" ht="12.75">
      <c r="A30" s="113"/>
      <c r="B30" s="65" t="s">
        <v>12</v>
      </c>
      <c r="C30" s="29">
        <v>100</v>
      </c>
      <c r="D30" s="67">
        <f>ToploadMass Base</f>
        <v>100</v>
      </c>
      <c r="E30" s="12">
        <f>ToploadMass Base</f>
        <v>100</v>
      </c>
      <c r="F30" s="12">
        <f>ToploadMass Base</f>
        <v>100</v>
      </c>
      <c r="G30" s="12">
        <f>ToploadMass Base</f>
        <v>100</v>
      </c>
      <c r="H30" s="12">
        <f>ToploadMass Base</f>
        <v>100</v>
      </c>
      <c r="I30" s="12">
        <f>ToploadMass Base</f>
        <v>100</v>
      </c>
      <c r="J30" s="12">
        <f>ToploadMass Base</f>
        <v>100</v>
      </c>
      <c r="K30" s="12">
        <f>ToploadMass Base</f>
        <v>100</v>
      </c>
      <c r="L30" s="12">
        <f>ToploadMass Base</f>
        <v>100</v>
      </c>
      <c r="M30" s="12">
        <f>ToploadMass Base</f>
        <v>100</v>
      </c>
      <c r="N30" s="12">
        <f>ToploadMass Base</f>
        <v>100</v>
      </c>
      <c r="O30" s="12">
        <f>ToploadMass Base</f>
        <v>100</v>
      </c>
      <c r="P30" s="12">
        <f>ToploadMass Base</f>
        <v>100</v>
      </c>
      <c r="Q30" s="12">
        <f>ToploadMass Base</f>
        <v>100</v>
      </c>
      <c r="R30" s="12">
        <f>ToploadMass Base</f>
        <v>100</v>
      </c>
      <c r="S30" s="12">
        <f>ToploadMass Base</f>
        <v>100</v>
      </c>
      <c r="T30" s="13">
        <f>ToploadMass Base</f>
        <v>100</v>
      </c>
      <c r="U30" s="47" t="s">
        <v>85</v>
      </c>
      <c r="V30" s="2"/>
      <c r="W30" s="2"/>
      <c r="X30" s="2"/>
      <c r="Y30" s="2"/>
      <c r="Z30" s="2"/>
      <c r="AA30" s="2"/>
    </row>
    <row r="31" spans="1:27" ht="13.5" thickBot="1">
      <c r="A31" s="113"/>
      <c r="B31" s="65" t="s">
        <v>7</v>
      </c>
      <c r="C31" s="83">
        <f>BodyClearance+1450</f>
        <v>1788.5819999999999</v>
      </c>
      <c r="D31" s="67">
        <f>ToploadCG Base+BodyClearance-BodyClearance Base</f>
        <v>1828.9998</v>
      </c>
      <c r="E31" s="12">
        <f>ToploadCG Base+BodyClearance-BodyClearance Base</f>
        <v>1839.4137999999998</v>
      </c>
      <c r="F31" s="12">
        <f>ToploadCG Base+BodyClearance-BodyClearance Base</f>
        <v>1874.8278</v>
      </c>
      <c r="G31" s="12">
        <f>ToploadCG Base+BodyClearance-BodyClearance Base</f>
        <v>1945.6558</v>
      </c>
      <c r="H31" s="12">
        <f>ToploadCG Base+BodyClearance-BodyClearance Base</f>
        <v>2000.022</v>
      </c>
      <c r="I31" s="12">
        <f>ToploadCG Base+BodyClearance-BodyClearance Base</f>
        <v>1856.6997999999999</v>
      </c>
      <c r="J31" s="12">
        <f>ToploadCG Base+BodyClearance-BodyClearance Base</f>
        <v>1856.6997999999999</v>
      </c>
      <c r="K31" s="12">
        <f>ToploadCG Base+BodyClearance-BodyClearance Base</f>
        <v>1877.9519999999998</v>
      </c>
      <c r="L31" s="12">
        <f>ToploadCG Base+BodyClearance-BodyClearance Base</f>
        <v>1882.1176</v>
      </c>
      <c r="M31" s="12">
        <f>ToploadCG Base+BodyClearance-BodyClearance Base</f>
        <v>1878.9933999999998</v>
      </c>
      <c r="N31" s="12">
        <f>ToploadCG Base+BodyClearance-BodyClearance Base</f>
        <v>1923.7800000000002</v>
      </c>
      <c r="O31" s="12">
        <f>ToploadCG Base+BodyClearance-BodyClearance Base</f>
        <v>1923.7800000000002</v>
      </c>
      <c r="P31" s="12">
        <f>ToploadCG Base+BodyClearance-BodyClearance Base</f>
        <v>1925.8627999999999</v>
      </c>
      <c r="Q31" s="12">
        <f>ToploadCG Base+BodyClearance-BodyClearance Base</f>
        <v>1921.6972</v>
      </c>
      <c r="R31" s="12">
        <f>ToploadCG Base+BodyClearance-BodyClearance Base</f>
        <v>1959.194</v>
      </c>
      <c r="S31" s="12">
        <f>ToploadCG Base+BodyClearance-BodyClearance Base</f>
        <v>1959.194</v>
      </c>
      <c r="T31" s="13">
        <f>ToploadCG Base+BodyClearance-BodyClearance Base</f>
        <v>2152.506</v>
      </c>
      <c r="U31" s="47" t="s">
        <v>86</v>
      </c>
      <c r="V31" s="2"/>
      <c r="W31" s="2"/>
      <c r="X31" s="2"/>
      <c r="Y31" s="2"/>
      <c r="Z31" s="2"/>
      <c r="AA31" s="2"/>
    </row>
    <row r="32" spans="1:27" ht="12" customHeight="1">
      <c r="A32" s="113"/>
      <c r="B32" s="65" t="s">
        <v>13</v>
      </c>
      <c r="C32" s="7">
        <f>WheelgroupMass+FrameGroupMass+BodyGroupMass</f>
        <v>1896.9520389214122</v>
      </c>
      <c r="D32" s="67">
        <f aca="true" t="shared" si="1" ref="D32:T32">WheelgroupMass+FrameGroupMass+BodyGroupMass</f>
        <v>1907.955745641412</v>
      </c>
      <c r="E32" s="12">
        <f>WheelgroupMass+FrameGroupMass+BodyGroupMass</f>
        <v>1923.900687081412</v>
      </c>
      <c r="F32" s="12">
        <f>WheelgroupMass+FrameGroupMass+BodyGroupMass</f>
        <v>1948.9393204968906</v>
      </c>
      <c r="G32" s="12">
        <f>WheelgroupMass+FrameGroupMass+BodyGroupMass</f>
        <v>1956.8946004968907</v>
      </c>
      <c r="H32" s="12">
        <f>WheelgroupMass+FrameGroupMass+BodyGroupMass</f>
        <v>2048.5685857423487</v>
      </c>
      <c r="I32" s="12">
        <f t="shared" si="1"/>
        <v>1911.004355241412</v>
      </c>
      <c r="J32" s="12">
        <f t="shared" si="1"/>
        <v>1911.004355241412</v>
      </c>
      <c r="K32" s="12">
        <f t="shared" si="1"/>
        <v>1936.0776929246435</v>
      </c>
      <c r="L32" s="12">
        <f t="shared" si="1"/>
        <v>1963.2932315095723</v>
      </c>
      <c r="M32" s="12">
        <f t="shared" si="1"/>
        <v>1977.808185421534</v>
      </c>
      <c r="N32" s="12">
        <f t="shared" si="1"/>
        <v>1957.8501237925864</v>
      </c>
      <c r="O32" s="12">
        <f t="shared" si="1"/>
        <v>1963.2932315095723</v>
      </c>
      <c r="P32" s="12">
        <f t="shared" si="1"/>
        <v>1997.7662470504818</v>
      </c>
      <c r="Q32" s="12">
        <f t="shared" si="1"/>
        <v>1999.5806162894771</v>
      </c>
      <c r="R32" s="12">
        <f t="shared" si="1"/>
        <v>2014.095570201439</v>
      </c>
      <c r="S32" s="12">
        <f t="shared" si="1"/>
        <v>2039.4967395473725</v>
      </c>
      <c r="T32" s="13">
        <f t="shared" si="1"/>
        <v>2102.999662912206</v>
      </c>
      <c r="U32" s="47" t="s">
        <v>96</v>
      </c>
      <c r="V32" s="2"/>
      <c r="W32" s="2"/>
      <c r="X32" s="2"/>
      <c r="Y32" s="2"/>
      <c r="Z32" s="2"/>
      <c r="AA32" s="2"/>
    </row>
    <row r="33" spans="1:27" ht="12.75">
      <c r="A33" s="113"/>
      <c r="B33" s="65" t="s">
        <v>15</v>
      </c>
      <c r="C33" s="7">
        <f>NetMass+PayloadMass+ToploadMass</f>
        <v>2496.952038921412</v>
      </c>
      <c r="D33" s="67">
        <f aca="true" t="shared" si="2" ref="D33:T33">NetMass+PayloadMass+ToploadMass</f>
        <v>2507.9557456414122</v>
      </c>
      <c r="E33" s="12">
        <f>NetMass+PayloadMass+ToploadMass</f>
        <v>2523.900687081412</v>
      </c>
      <c r="F33" s="12">
        <f>NetMass+PayloadMass+ToploadMass</f>
        <v>2548.9393204968906</v>
      </c>
      <c r="G33" s="12">
        <f>NetMass+PayloadMass+ToploadMass</f>
        <v>2556.8946004968907</v>
      </c>
      <c r="H33" s="12">
        <f>NetMass+PayloadMass+ToploadMass</f>
        <v>2648.5685857423487</v>
      </c>
      <c r="I33" s="12">
        <f t="shared" si="2"/>
        <v>2511.0043552414118</v>
      </c>
      <c r="J33" s="12">
        <f t="shared" si="2"/>
        <v>2511.0043552414118</v>
      </c>
      <c r="K33" s="12">
        <f t="shared" si="2"/>
        <v>2536.0776929246435</v>
      </c>
      <c r="L33" s="12">
        <f t="shared" si="2"/>
        <v>2563.2932315095723</v>
      </c>
      <c r="M33" s="12">
        <f t="shared" si="2"/>
        <v>2577.8081854215343</v>
      </c>
      <c r="N33" s="12">
        <f t="shared" si="2"/>
        <v>2557.8501237925866</v>
      </c>
      <c r="O33" s="12">
        <f t="shared" si="2"/>
        <v>2563.2932315095723</v>
      </c>
      <c r="P33" s="12">
        <f t="shared" si="2"/>
        <v>2597.766247050482</v>
      </c>
      <c r="Q33" s="12">
        <f t="shared" si="2"/>
        <v>2599.580616289477</v>
      </c>
      <c r="R33" s="12">
        <f t="shared" si="2"/>
        <v>2614.095570201439</v>
      </c>
      <c r="S33" s="12">
        <f t="shared" si="2"/>
        <v>2639.4967395473723</v>
      </c>
      <c r="T33" s="13">
        <f t="shared" si="2"/>
        <v>2702.999662912206</v>
      </c>
      <c r="U33" s="47" t="s">
        <v>97</v>
      </c>
      <c r="V33" s="2"/>
      <c r="W33" s="2"/>
      <c r="X33" s="2"/>
      <c r="Y33" s="2"/>
      <c r="Z33" s="2"/>
      <c r="AA33" s="2"/>
    </row>
    <row r="34" spans="1:27" ht="12.75">
      <c r="A34" s="113"/>
      <c r="B34" s="65" t="s">
        <v>14</v>
      </c>
      <c r="C34" s="7">
        <f>(WheelgroupMass*WheelgroupCG+FrameGroupMass*FrameGroupCG+BodyGroupMass*BodyGroupCG)/NetMass</f>
        <v>609.3015631463135</v>
      </c>
      <c r="D34" s="67">
        <f aca="true" t="shared" si="3" ref="D34:T34">(WheelgroupMass*WheelgroupCG+FrameGroupMass*FrameGroupCG+BodyGroupMass*BodyGroupCG)/NetMass</f>
        <v>645.3836246117125</v>
      </c>
      <c r="E34" s="12">
        <f>(WheelgroupMass*WheelgroupCG+FrameGroupMass*FrameGroupCG+BodyGroupMass*BodyGroupCG)/NetMass</f>
        <v>654.0451631321619</v>
      </c>
      <c r="F34" s="12">
        <f>(WheelgroupMass*WheelgroupCG+FrameGroupMass*FrameGroupCG+BodyGroupMass*BodyGroupCG)/NetMass</f>
        <v>659.7559192775789</v>
      </c>
      <c r="G34" s="12">
        <f>(WheelgroupMass*WheelgroupCG+FrameGroupMass*FrameGroupCG+BodyGroupMass*BodyGroupCG)/NetMass</f>
        <v>699.3071536040264</v>
      </c>
      <c r="H34" s="12">
        <f>(WheelgroupMass*WheelgroupCG+FrameGroupMass*FrameGroupCG+BodyGroupMass*BodyGroupCG)/NetMass</f>
        <v>761.8190380817908</v>
      </c>
      <c r="I34" s="12">
        <f t="shared" si="3"/>
        <v>670.9149814753358</v>
      </c>
      <c r="J34" s="12">
        <f t="shared" si="3"/>
        <v>670.9149814753358</v>
      </c>
      <c r="K34" s="12">
        <f t="shared" si="3"/>
        <v>687.7115450952705</v>
      </c>
      <c r="L34" s="12">
        <f t="shared" si="3"/>
        <v>688.4687955346797</v>
      </c>
      <c r="M34" s="12">
        <f t="shared" si="3"/>
        <v>683.4392887618448</v>
      </c>
      <c r="N34" s="12">
        <f t="shared" si="3"/>
        <v>715.7933726337544</v>
      </c>
      <c r="O34" s="12">
        <f t="shared" si="3"/>
        <v>715.0803117734634</v>
      </c>
      <c r="P34" s="12">
        <f t="shared" si="3"/>
        <v>712.7916773903164</v>
      </c>
      <c r="Q34" s="12">
        <f t="shared" si="3"/>
        <v>708.2883620030667</v>
      </c>
      <c r="R34" s="12">
        <f t="shared" si="3"/>
        <v>728.6167066139701</v>
      </c>
      <c r="S34" s="12">
        <f t="shared" si="3"/>
        <v>725.4028699732253</v>
      </c>
      <c r="T34" s="13">
        <f t="shared" si="3"/>
        <v>868.6191167762607</v>
      </c>
      <c r="U34" s="47" t="s">
        <v>98</v>
      </c>
      <c r="V34" s="2"/>
      <c r="W34" s="2"/>
      <c r="X34" s="2"/>
      <c r="Y34" s="2"/>
      <c r="Z34" s="2"/>
      <c r="AA34" s="2"/>
    </row>
    <row r="35" spans="1:27" ht="13.5" thickBot="1">
      <c r="A35" s="114"/>
      <c r="B35" s="66" t="s">
        <v>16</v>
      </c>
      <c r="C35" s="52">
        <f>(NetMass*NetCG+PayloadMass*PayloadCG+ToploadMass*ToploadCG)/TotalMass</f>
        <v>722.466837331664</v>
      </c>
      <c r="D35" s="68">
        <f aca="true" t="shared" si="4" ref="D35:T35">(NetMass*NetCG+PayloadMass*PayloadCG+ToploadMass*ToploadCG)/TotalMass</f>
        <v>759.089660186132</v>
      </c>
      <c r="E35" s="14">
        <f>(NetMass*NetCG+PayloadMass*PayloadCG+ToploadMass*ToploadCG)/TotalMass</f>
        <v>767.4494597377003</v>
      </c>
      <c r="F35" s="14">
        <f>(NetMass*NetCG+PayloadMass*PayloadCG+ToploadMass*ToploadCG)/TotalMass</f>
        <v>779.0381344282254</v>
      </c>
      <c r="G35" s="14">
        <f>(NetMass*NetCG+PayloadMass*PayloadCG+ToploadMass*ToploadCG)/TotalMass</f>
        <v>825.5576403369764</v>
      </c>
      <c r="H35" s="14">
        <f>(NetMass*NetCG+PayloadMass*PayloadCG+ToploadMass*ToploadCG)/TotalMass</f>
        <v>881.8543578625764</v>
      </c>
      <c r="I35" s="14">
        <f t="shared" si="4"/>
        <v>785.0011599866657</v>
      </c>
      <c r="J35" s="14">
        <f t="shared" si="4"/>
        <v>785.0011599866657</v>
      </c>
      <c r="K35" s="14">
        <f t="shared" si="4"/>
        <v>801.7239327084402</v>
      </c>
      <c r="L35" s="14">
        <f t="shared" si="4"/>
        <v>802.0684723487542</v>
      </c>
      <c r="M35" s="14">
        <f t="shared" si="4"/>
        <v>796.8427872828527</v>
      </c>
      <c r="N35" s="14">
        <f t="shared" si="4"/>
        <v>832.9980413636166</v>
      </c>
      <c r="O35" s="14">
        <f t="shared" si="4"/>
        <v>832.203007392301</v>
      </c>
      <c r="P35" s="14">
        <f t="shared" si="4"/>
        <v>829.3697851818312</v>
      </c>
      <c r="Q35" s="14">
        <f t="shared" si="4"/>
        <v>824.8630513584263</v>
      </c>
      <c r="R35" s="14">
        <f t="shared" si="4"/>
        <v>848.4846944578392</v>
      </c>
      <c r="S35" s="14">
        <f t="shared" si="4"/>
        <v>844.847866169784</v>
      </c>
      <c r="T35" s="15">
        <f t="shared" si="4"/>
        <v>996.3779673127731</v>
      </c>
      <c r="U35" s="47" t="s">
        <v>99</v>
      </c>
      <c r="V35" s="2"/>
      <c r="W35" s="2"/>
      <c r="X35" s="2"/>
      <c r="Y35" s="2"/>
      <c r="Z35" s="2"/>
      <c r="AA35" s="2"/>
    </row>
    <row r="36" spans="1:27" ht="12.75">
      <c r="A36" s="112" t="s">
        <v>104</v>
      </c>
      <c r="B36" s="35" t="s">
        <v>19</v>
      </c>
      <c r="C36" s="53">
        <f>EffectiveTireHeight/2</f>
        <v>338.582</v>
      </c>
      <c r="D36" s="85">
        <f aca="true" t="shared" si="5" ref="D36:T36">EffectiveTireHeight/2</f>
        <v>353.99979999999994</v>
      </c>
      <c r="E36" s="10">
        <f>EffectiveTireHeight/2</f>
        <v>364.4138</v>
      </c>
      <c r="F36" s="10">
        <f>EffectiveTireHeight/2</f>
        <v>374.8278</v>
      </c>
      <c r="G36" s="10">
        <f>EffectiveTireHeight/2</f>
        <v>395.6558</v>
      </c>
      <c r="H36" s="10">
        <f>EffectiveTireHeight/2</f>
        <v>430.02199999999993</v>
      </c>
      <c r="I36" s="10">
        <f t="shared" si="5"/>
        <v>366.6998</v>
      </c>
      <c r="J36" s="10">
        <f t="shared" si="5"/>
        <v>366.6998</v>
      </c>
      <c r="K36" s="10">
        <f t="shared" si="5"/>
        <v>377.952</v>
      </c>
      <c r="L36" s="10">
        <f t="shared" si="5"/>
        <v>382.1175999999999</v>
      </c>
      <c r="M36" s="10">
        <f t="shared" si="5"/>
        <v>378.99339999999995</v>
      </c>
      <c r="N36" s="10">
        <f t="shared" si="5"/>
        <v>398.78</v>
      </c>
      <c r="O36" s="10">
        <f t="shared" si="5"/>
        <v>398.78</v>
      </c>
      <c r="P36" s="10">
        <f t="shared" si="5"/>
        <v>400.8628</v>
      </c>
      <c r="Q36" s="10">
        <f t="shared" si="5"/>
        <v>396.69719999999995</v>
      </c>
      <c r="R36" s="10">
        <f t="shared" si="5"/>
        <v>409.19399999999996</v>
      </c>
      <c r="S36" s="10">
        <f t="shared" si="5"/>
        <v>409.19399999999996</v>
      </c>
      <c r="T36" s="11">
        <f t="shared" si="5"/>
        <v>492.506</v>
      </c>
      <c r="U36" s="47" t="s">
        <v>88</v>
      </c>
      <c r="V36" s="2"/>
      <c r="W36" s="2"/>
      <c r="X36" s="2"/>
      <c r="Y36" s="2"/>
      <c r="Z36" s="2"/>
      <c r="AA36" s="2"/>
    </row>
    <row r="37" spans="1:27" ht="13.5" thickBot="1">
      <c r="A37" s="117"/>
      <c r="B37" s="33" t="s">
        <v>23</v>
      </c>
      <c r="C37" s="7">
        <f>HubHeight-HubHeight Base</f>
        <v>0</v>
      </c>
      <c r="D37" s="67">
        <f>HubHeight-HubHeight Base</f>
        <v>15.417799999999943</v>
      </c>
      <c r="E37" s="12">
        <f>HubHeight-HubHeight Base</f>
        <v>25.831799999999987</v>
      </c>
      <c r="F37" s="12">
        <f>HubHeight-HubHeight Base</f>
        <v>36.24580000000003</v>
      </c>
      <c r="G37" s="12">
        <f>HubHeight-HubHeight Base</f>
        <v>57.073800000000006</v>
      </c>
      <c r="H37" s="12">
        <f>HubHeight-HubHeight Base</f>
        <v>91.43999999999994</v>
      </c>
      <c r="I37" s="12">
        <f>HubHeight-HubHeight Base</f>
        <v>28.11779999999999</v>
      </c>
      <c r="J37" s="12">
        <f>HubHeight-HubHeight Base</f>
        <v>28.11779999999999</v>
      </c>
      <c r="K37" s="12">
        <f>HubHeight-HubHeight Base</f>
        <v>39.370000000000005</v>
      </c>
      <c r="L37" s="12">
        <f>HubHeight-HubHeight Base</f>
        <v>43.53559999999993</v>
      </c>
      <c r="M37" s="12">
        <f>HubHeight-HubHeight Base</f>
        <v>40.41139999999996</v>
      </c>
      <c r="N37" s="12">
        <f>HubHeight-HubHeight Base</f>
        <v>60.19799999999998</v>
      </c>
      <c r="O37" s="12">
        <f>HubHeight-HubHeight Base</f>
        <v>60.19799999999998</v>
      </c>
      <c r="P37" s="12">
        <f>HubHeight-HubHeight Base</f>
        <v>62.2808</v>
      </c>
      <c r="Q37" s="12">
        <f>HubHeight-HubHeight Base</f>
        <v>58.11519999999996</v>
      </c>
      <c r="R37" s="12">
        <f>HubHeight-HubHeight Base</f>
        <v>70.61199999999997</v>
      </c>
      <c r="S37" s="12">
        <f>HubHeight-HubHeight Base</f>
        <v>70.61199999999997</v>
      </c>
      <c r="T37" s="13">
        <f>HubHeight-HubHeight Base</f>
        <v>153.92399999999998</v>
      </c>
      <c r="U37" s="47" t="s">
        <v>89</v>
      </c>
      <c r="V37" s="2"/>
      <c r="W37" s="2"/>
      <c r="X37" s="2"/>
      <c r="Y37" s="2"/>
      <c r="Z37" s="2"/>
      <c r="AA37" s="2"/>
    </row>
    <row r="38" spans="1:27" ht="12.75">
      <c r="A38" s="117"/>
      <c r="B38" s="33" t="s">
        <v>18</v>
      </c>
      <c r="C38" s="28">
        <f>HubHeight</f>
        <v>338.582</v>
      </c>
      <c r="D38" s="67">
        <f>BodyClearance Base+HHDelta+SuspTravelDelta+SuspBaseDelta+IFSAssemblyDelta+BodyDelta</f>
        <v>378.99979999999994</v>
      </c>
      <c r="E38" s="12">
        <f>BodyClearance Base+HHDelta+SuspTravelDelta+SuspBaseDelta+IFSAssemblyDelta+BodyDelta</f>
        <v>389.4138</v>
      </c>
      <c r="F38" s="12">
        <f>BodyClearance Base+HHDelta+SuspTravelDelta+SuspBaseDelta+IFSAssemblyDelta+BodyDelta</f>
        <v>424.8278</v>
      </c>
      <c r="G38" s="12">
        <f>BodyClearance Base+HHDelta+SuspTravelDelta+SuspBaseDelta+IFSAssemblyDelta+BodyDelta</f>
        <v>495.6558</v>
      </c>
      <c r="H38" s="12">
        <f>BodyClearance Base+HHDelta+SuspTravelDelta+SuspBaseDelta+IFSAssemblyDelta+BodyDelta</f>
        <v>550.0219999999999</v>
      </c>
      <c r="I38" s="12">
        <f>BodyClearance Base+HHDelta+SuspTravelDelta+SuspBaseDelta+IFSAssemblyDelta+BodyDelta</f>
        <v>406.6998</v>
      </c>
      <c r="J38" s="12">
        <f>BodyClearance Base+HHDelta+SuspTravelDelta+SuspBaseDelta+IFSAssemblyDelta+BodyDelta</f>
        <v>406.6998</v>
      </c>
      <c r="K38" s="12">
        <f>BodyClearance Base+HHDelta+SuspTravelDelta+SuspBaseDelta+IFSAssemblyDelta+BodyDelta</f>
        <v>427.952</v>
      </c>
      <c r="L38" s="12">
        <f>BodyClearance Base+HHDelta+SuspTravelDelta+SuspBaseDelta+IFSAssemblyDelta+BodyDelta</f>
        <v>432.1175999999999</v>
      </c>
      <c r="M38" s="12">
        <f>BodyClearance Base+HHDelta+SuspTravelDelta+SuspBaseDelta+IFSAssemblyDelta+BodyDelta</f>
        <v>428.99339999999995</v>
      </c>
      <c r="N38" s="12">
        <f>BodyClearance Base+HHDelta+SuspTravelDelta+SuspBaseDelta+IFSAssemblyDelta+BodyDelta</f>
        <v>473.78</v>
      </c>
      <c r="O38" s="12">
        <f>BodyClearance Base+HHDelta+SuspTravelDelta+SuspBaseDelta+IFSAssemblyDelta+BodyDelta</f>
        <v>473.78</v>
      </c>
      <c r="P38" s="12">
        <f>BodyClearance Base+HHDelta+SuspTravelDelta+SuspBaseDelta+IFSAssemblyDelta+BodyDelta</f>
        <v>475.8628</v>
      </c>
      <c r="Q38" s="12">
        <f>BodyClearance Base+HHDelta+SuspTravelDelta+SuspBaseDelta+IFSAssemblyDelta+BodyDelta</f>
        <v>471.69719999999995</v>
      </c>
      <c r="R38" s="12">
        <f>BodyClearance Base+HHDelta+SuspTravelDelta+SuspBaseDelta+IFSAssemblyDelta+BodyDelta</f>
        <v>509.19399999999996</v>
      </c>
      <c r="S38" s="12">
        <f>BodyClearance Base+HHDelta+SuspTravelDelta+SuspBaseDelta+IFSAssemblyDelta+BodyDelta</f>
        <v>509.19399999999996</v>
      </c>
      <c r="T38" s="13">
        <f>BodyClearance Base+HHDelta+SuspTravelDelta+SuspBaseDelta+IFSAssemblyDelta+BodyDelta</f>
        <v>702.506</v>
      </c>
      <c r="U38" s="47" t="s">
        <v>135</v>
      </c>
      <c r="V38" s="2"/>
      <c r="W38" s="2"/>
      <c r="X38" s="2"/>
      <c r="Y38" s="2"/>
      <c r="Z38" s="2"/>
      <c r="AA38" s="2"/>
    </row>
    <row r="39" spans="1:27" ht="12.75" customHeight="1" thickBot="1">
      <c r="A39" s="117"/>
      <c r="B39" s="33" t="s">
        <v>17</v>
      </c>
      <c r="C39" s="82">
        <f>HubHeight-60</f>
        <v>278.582</v>
      </c>
      <c r="D39" s="88">
        <f>FrameClearance Base+HHDelta+SuspTravelDelta+SuspBaseDelta+IFSAssemblyDelta</f>
        <v>318.99979999999994</v>
      </c>
      <c r="E39" s="25">
        <f>FrameClearance Base+HHDelta+SuspTravelDelta+SuspBaseDelta+IFSAssemblyDelta</f>
        <v>329.4138</v>
      </c>
      <c r="F39" s="25">
        <f>FrameClearance Base+HHDelta+SuspTravelDelta+SuspBaseDelta+IFSAssemblyDelta</f>
        <v>314.8278</v>
      </c>
      <c r="G39" s="25">
        <f>FrameClearance Base+HHDelta+SuspTravelDelta+SuspBaseDelta+IFSAssemblyDelta</f>
        <v>335.6558</v>
      </c>
      <c r="H39" s="25">
        <f>FrameClearance Base+HHDelta+SuspTravelDelta+SuspBaseDelta+IFSAssemblyDelta</f>
        <v>440.02199999999993</v>
      </c>
      <c r="I39" s="25">
        <f>FrameClearance Base+HHDelta+SuspTravelDelta+SuspBaseDelta+IFSAssemblyDelta</f>
        <v>346.6998</v>
      </c>
      <c r="J39" s="25">
        <f>FrameClearance Base+HHDelta+SuspTravelDelta+SuspBaseDelta+IFSAssemblyDelta</f>
        <v>346.6998</v>
      </c>
      <c r="K39" s="25">
        <f>FrameClearance Base+HHDelta+SuspTravelDelta+SuspBaseDelta+IFSAssemblyDelta</f>
        <v>367.952</v>
      </c>
      <c r="L39" s="25">
        <f>FrameClearance Base+HHDelta+SuspTravelDelta+SuspBaseDelta+IFSAssemblyDelta</f>
        <v>372.1175999999999</v>
      </c>
      <c r="M39" s="25">
        <f>FrameClearance Base+HHDelta+SuspTravelDelta+SuspBaseDelta+IFSAssemblyDelta</f>
        <v>368.99339999999995</v>
      </c>
      <c r="N39" s="25">
        <f>FrameClearance Base+HHDelta+SuspTravelDelta+SuspBaseDelta+IFSAssemblyDelta</f>
        <v>388.78</v>
      </c>
      <c r="O39" s="25">
        <f>FrameClearance Base+HHDelta+SuspTravelDelta+SuspBaseDelta+IFSAssemblyDelta</f>
        <v>388.78</v>
      </c>
      <c r="P39" s="25">
        <f>FrameClearance Base+HHDelta+SuspTravelDelta+SuspBaseDelta+IFSAssemblyDelta</f>
        <v>390.8628</v>
      </c>
      <c r="Q39" s="25">
        <f>FrameClearance Base+HHDelta+SuspTravelDelta+SuspBaseDelta+IFSAssemblyDelta</f>
        <v>386.69719999999995</v>
      </c>
      <c r="R39" s="25">
        <f>FrameClearance Base+HHDelta+SuspTravelDelta+SuspBaseDelta+IFSAssemblyDelta</f>
        <v>399.19399999999996</v>
      </c>
      <c r="S39" s="25">
        <f>FrameClearance Base+HHDelta+SuspTravelDelta+SuspBaseDelta+IFSAssemblyDelta</f>
        <v>399.19399999999996</v>
      </c>
      <c r="T39" s="26">
        <f>FrameClearance Base+HHDelta+SuspTravelDelta+SuspBaseDelta+IFSAssemblyDelta</f>
        <v>542.506</v>
      </c>
      <c r="U39" s="47" t="s">
        <v>77</v>
      </c>
      <c r="V39" s="2"/>
      <c r="W39" s="2"/>
      <c r="X39" s="2"/>
      <c r="Y39" s="2"/>
      <c r="Z39" s="2"/>
      <c r="AA39" s="2"/>
    </row>
    <row r="40" spans="1:27" ht="13.5" thickBot="1">
      <c r="A40" s="117"/>
      <c r="B40" s="33" t="s">
        <v>59</v>
      </c>
      <c r="C40" s="57">
        <f>FrameClearance-(TireHeight-RimHeight)/2/2</f>
        <v>196.032</v>
      </c>
      <c r="D40" s="89">
        <f aca="true" t="shared" si="6" ref="D40:T40">FrameClearance-(TireHeight-RimHeight)/2/2</f>
        <v>219.30479999999994</v>
      </c>
      <c r="E40" s="51">
        <f>FrameClearance-(TireHeight-RimHeight)/2/2</f>
        <v>223.3688</v>
      </c>
      <c r="F40" s="51">
        <f>FrameClearance-(TireHeight-RimHeight)/2/2</f>
        <v>202.43280000000001</v>
      </c>
      <c r="G40" s="51">
        <f>FrameClearance-(TireHeight-RimHeight)/2/2</f>
        <v>210.5608</v>
      </c>
      <c r="H40" s="51">
        <f>FrameClearance-(TireHeight-RimHeight)/2/2</f>
        <v>293.972</v>
      </c>
      <c r="I40" s="51">
        <f t="shared" si="6"/>
        <v>247.0048</v>
      </c>
      <c r="J40" s="51">
        <f t="shared" si="6"/>
        <v>247.0048</v>
      </c>
      <c r="K40" s="51">
        <f t="shared" si="6"/>
        <v>253.65200000000002</v>
      </c>
      <c r="L40" s="51">
        <f t="shared" si="6"/>
        <v>255.27759999999995</v>
      </c>
      <c r="M40" s="51">
        <f t="shared" si="6"/>
        <v>254.05839999999995</v>
      </c>
      <c r="N40" s="51">
        <f t="shared" si="6"/>
        <v>261.78</v>
      </c>
      <c r="O40" s="51">
        <f t="shared" si="6"/>
        <v>261.78</v>
      </c>
      <c r="P40" s="51">
        <f t="shared" si="6"/>
        <v>262.5928</v>
      </c>
      <c r="Q40" s="51">
        <f t="shared" si="6"/>
        <v>260.9672</v>
      </c>
      <c r="R40" s="51">
        <f t="shared" si="6"/>
        <v>265.84399999999994</v>
      </c>
      <c r="S40" s="51">
        <f t="shared" si="6"/>
        <v>265.84399999999994</v>
      </c>
      <c r="T40" s="13">
        <f t="shared" si="6"/>
        <v>358.356</v>
      </c>
      <c r="U40" s="47" t="s">
        <v>78</v>
      </c>
      <c r="V40" s="2"/>
      <c r="W40" s="2"/>
      <c r="X40" s="2"/>
      <c r="Y40" s="2"/>
      <c r="Z40" s="2"/>
      <c r="AA40" s="2"/>
    </row>
    <row r="41" spans="1:27" ht="12.75">
      <c r="A41" s="117"/>
      <c r="B41" s="33" t="s">
        <v>114</v>
      </c>
      <c r="C41" s="28">
        <f>HubHeight-(288/2)</f>
        <v>194.582</v>
      </c>
      <c r="D41" s="67">
        <f aca="true" t="shared" si="7" ref="D41:T41">HubHeight-(300/2)</f>
        <v>203.99979999999994</v>
      </c>
      <c r="E41" s="12">
        <f>HubHeight-(300/2)</f>
        <v>214.41379999999998</v>
      </c>
      <c r="F41" s="12">
        <f>HubHeight-(300/2)</f>
        <v>224.82780000000002</v>
      </c>
      <c r="G41" s="12">
        <f>HubHeight-(300/2)</f>
        <v>245.6558</v>
      </c>
      <c r="H41" s="12">
        <f>HubHeight-(300/2)</f>
        <v>280.02199999999993</v>
      </c>
      <c r="I41" s="12">
        <f t="shared" si="7"/>
        <v>216.69979999999998</v>
      </c>
      <c r="J41" s="12">
        <f t="shared" si="7"/>
        <v>216.69979999999998</v>
      </c>
      <c r="K41" s="12">
        <f t="shared" si="7"/>
        <v>227.952</v>
      </c>
      <c r="L41" s="12">
        <f t="shared" si="7"/>
        <v>232.11759999999992</v>
      </c>
      <c r="M41" s="12">
        <f t="shared" si="7"/>
        <v>228.99339999999995</v>
      </c>
      <c r="N41" s="12">
        <f t="shared" si="7"/>
        <v>248.77999999999997</v>
      </c>
      <c r="O41" s="12">
        <f t="shared" si="7"/>
        <v>248.77999999999997</v>
      </c>
      <c r="P41" s="12">
        <f t="shared" si="7"/>
        <v>250.8628</v>
      </c>
      <c r="Q41" s="12">
        <f t="shared" si="7"/>
        <v>246.69719999999995</v>
      </c>
      <c r="R41" s="12">
        <f t="shared" si="7"/>
        <v>259.19399999999996</v>
      </c>
      <c r="S41" s="12">
        <f t="shared" si="7"/>
        <v>259.19399999999996</v>
      </c>
      <c r="T41" s="13">
        <f t="shared" si="7"/>
        <v>342.506</v>
      </c>
      <c r="U41" s="47" t="s">
        <v>110</v>
      </c>
      <c r="V41" s="2"/>
      <c r="W41" s="2"/>
      <c r="X41" s="2"/>
      <c r="Y41" s="2"/>
      <c r="Z41" s="2"/>
      <c r="AA41" s="2"/>
    </row>
    <row r="42" spans="1:27" ht="12.75">
      <c r="A42" s="117"/>
      <c r="B42" s="33" t="s">
        <v>105</v>
      </c>
      <c r="C42" s="29">
        <f aca="true" t="shared" si="8" ref="C42:H42">HubHeight-(70/2)</f>
        <v>303.582</v>
      </c>
      <c r="D42" s="67">
        <f t="shared" si="8"/>
        <v>318.99979999999994</v>
      </c>
      <c r="E42" s="12">
        <f t="shared" si="8"/>
        <v>329.4138</v>
      </c>
      <c r="F42" s="12">
        <f t="shared" si="8"/>
        <v>339.8278</v>
      </c>
      <c r="G42" s="12">
        <f t="shared" si="8"/>
        <v>360.6558</v>
      </c>
      <c r="H42" s="12">
        <f t="shared" si="8"/>
        <v>395.02199999999993</v>
      </c>
      <c r="I42" s="12">
        <f aca="true" t="shared" si="9" ref="I42:T42">HubHeight-(70/2)</f>
        <v>331.6998</v>
      </c>
      <c r="J42" s="12">
        <f t="shared" si="9"/>
        <v>331.6998</v>
      </c>
      <c r="K42" s="12">
        <f t="shared" si="9"/>
        <v>342.952</v>
      </c>
      <c r="L42" s="12">
        <f t="shared" si="9"/>
        <v>347.1175999999999</v>
      </c>
      <c r="M42" s="12">
        <f t="shared" si="9"/>
        <v>343.99339999999995</v>
      </c>
      <c r="N42" s="12">
        <f t="shared" si="9"/>
        <v>363.78</v>
      </c>
      <c r="O42" s="12">
        <f t="shared" si="9"/>
        <v>363.78</v>
      </c>
      <c r="P42" s="12">
        <f t="shared" si="9"/>
        <v>365.8628</v>
      </c>
      <c r="Q42" s="12">
        <f t="shared" si="9"/>
        <v>361.69719999999995</v>
      </c>
      <c r="R42" s="12">
        <f t="shared" si="9"/>
        <v>374.19399999999996</v>
      </c>
      <c r="S42" s="12">
        <f t="shared" si="9"/>
        <v>374.19399999999996</v>
      </c>
      <c r="T42" s="13">
        <f t="shared" si="9"/>
        <v>457.506</v>
      </c>
      <c r="U42" s="47" t="s">
        <v>111</v>
      </c>
      <c r="V42" s="2"/>
      <c r="W42" s="2"/>
      <c r="X42" s="2"/>
      <c r="Y42" s="2"/>
      <c r="Z42" s="2"/>
      <c r="AA42" s="2"/>
    </row>
    <row r="43" spans="1:27" ht="13.5" thickBot="1">
      <c r="A43" s="118"/>
      <c r="B43" s="36" t="s">
        <v>103</v>
      </c>
      <c r="C43" s="83">
        <f>HubHeight-(258/2)</f>
        <v>209.582</v>
      </c>
      <c r="D43" s="90">
        <f>SkidPanClearance Base+HHDelta+SuspTravelDelta+SuspBaseDelta</f>
        <v>249.99979999999994</v>
      </c>
      <c r="E43" s="14">
        <f>SkidPanClearance Base+HHDelta+SuspTravelDelta+SuspBaseDelta</f>
        <v>260.4138</v>
      </c>
      <c r="F43" s="14">
        <f>SkidPanClearance Base+HHDelta+SuspTravelDelta+SuspBaseDelta</f>
        <v>245.82780000000002</v>
      </c>
      <c r="G43" s="14">
        <f>SkidPanClearance Base+HHDelta+SuspTravelDelta+SuspBaseDelta</f>
        <v>266.6558</v>
      </c>
      <c r="H43" s="14">
        <f>SkidPanClearance Base+HHDelta+SuspTravelDelta+SuspBaseDelta</f>
        <v>301.02199999999993</v>
      </c>
      <c r="I43" s="14">
        <f>SkidPanClearance Base+HHDelta+SuspTravelDelta+SuspBaseDelta</f>
        <v>277.6998</v>
      </c>
      <c r="J43" s="14">
        <f>SkidPanClearance Base+HHDelta+SuspTravelDelta+SuspBaseDelta</f>
        <v>277.6998</v>
      </c>
      <c r="K43" s="14">
        <f>SkidPanClearance Base+HHDelta+SuspTravelDelta+SuspBaseDelta</f>
        <v>298.952</v>
      </c>
      <c r="L43" s="14">
        <f>SkidPanClearance Base+HHDelta+SuspTravelDelta+SuspBaseDelta</f>
        <v>303.1175999999999</v>
      </c>
      <c r="M43" s="14">
        <f>SkidPanClearance Base+HHDelta+SuspTravelDelta+SuspBaseDelta</f>
        <v>299.99339999999995</v>
      </c>
      <c r="N43" s="14">
        <f>SkidPanClearance Base+HHDelta+SuspTravelDelta+SuspBaseDelta</f>
        <v>319.78</v>
      </c>
      <c r="O43" s="14">
        <f>SkidPanClearance Base+HHDelta+SuspTravelDelta+SuspBaseDelta</f>
        <v>319.78</v>
      </c>
      <c r="P43" s="14">
        <f>SkidPanClearance Base+HHDelta+SuspTravelDelta+SuspBaseDelta</f>
        <v>321.8628</v>
      </c>
      <c r="Q43" s="14">
        <f>SkidPanClearance Base+HHDelta+SuspTravelDelta+SuspBaseDelta</f>
        <v>317.69719999999995</v>
      </c>
      <c r="R43" s="14">
        <f>SkidPanClearance Base+HHDelta+SuspTravelDelta+SuspBaseDelta</f>
        <v>330.19399999999996</v>
      </c>
      <c r="S43" s="14">
        <f>SkidPanClearance Base+HHDelta+SuspTravelDelta+SuspBaseDelta</f>
        <v>330.19399999999996</v>
      </c>
      <c r="T43" s="15">
        <f>SkidPanClearance Base+HHDelta+SuspTravelDelta+SuspBaseDelta</f>
        <v>403.506</v>
      </c>
      <c r="U43" s="47" t="s">
        <v>112</v>
      </c>
      <c r="V43" s="2"/>
      <c r="W43" s="2"/>
      <c r="X43" s="2"/>
      <c r="Y43" s="2"/>
      <c r="Z43" s="2"/>
      <c r="AA43" s="2"/>
    </row>
    <row r="44" spans="1:27" ht="15" customHeight="1">
      <c r="A44" s="112" t="s">
        <v>107</v>
      </c>
      <c r="B44" s="33" t="s">
        <v>62</v>
      </c>
      <c r="C44" s="7">
        <f>RimHeight_in*25.4</f>
        <v>406.4</v>
      </c>
      <c r="D44" s="12">
        <f aca="true" t="shared" si="10" ref="D44:T44">RimHeight_in*25.4</f>
        <v>381</v>
      </c>
      <c r="E44" s="12">
        <f>RimHeight_in*25.4</f>
        <v>381</v>
      </c>
      <c r="F44" s="12">
        <f>RimHeight_in*25.4</f>
        <v>381</v>
      </c>
      <c r="G44" s="12">
        <f>RimHeight_in*25.4</f>
        <v>381</v>
      </c>
      <c r="H44" s="12">
        <f>RimHeight_in*25.4</f>
        <v>381</v>
      </c>
      <c r="I44" s="12">
        <f t="shared" si="10"/>
        <v>406.4</v>
      </c>
      <c r="J44" s="12">
        <f t="shared" si="10"/>
        <v>406.4</v>
      </c>
      <c r="K44" s="12">
        <f t="shared" si="10"/>
        <v>381</v>
      </c>
      <c r="L44" s="12">
        <f t="shared" si="10"/>
        <v>381</v>
      </c>
      <c r="M44" s="12">
        <f t="shared" si="10"/>
        <v>381</v>
      </c>
      <c r="N44" s="12">
        <f t="shared" si="10"/>
        <v>381</v>
      </c>
      <c r="O44" s="12">
        <f t="shared" si="10"/>
        <v>381</v>
      </c>
      <c r="P44" s="12">
        <f t="shared" si="10"/>
        <v>381</v>
      </c>
      <c r="Q44" s="12">
        <f t="shared" si="10"/>
        <v>381</v>
      </c>
      <c r="R44" s="12">
        <f t="shared" si="10"/>
        <v>381</v>
      </c>
      <c r="S44" s="12">
        <f t="shared" si="10"/>
        <v>381</v>
      </c>
      <c r="T44" s="11">
        <f t="shared" si="10"/>
        <v>381</v>
      </c>
      <c r="U44" s="47" t="s">
        <v>90</v>
      </c>
      <c r="V44" s="2"/>
      <c r="W44" s="2"/>
      <c r="X44" s="2"/>
      <c r="Y44" s="2"/>
      <c r="Z44" s="2"/>
      <c r="AA44" s="2"/>
    </row>
    <row r="45" spans="1:27" ht="12.75">
      <c r="A45" s="113"/>
      <c r="B45" s="33" t="s">
        <v>20</v>
      </c>
      <c r="C45" s="7">
        <f>TireHeight_in*25.4</f>
        <v>736.5999999999999</v>
      </c>
      <c r="D45" s="12">
        <f aca="true" t="shared" si="11" ref="D45:T45">TireHeight_in*25.4</f>
        <v>779.78</v>
      </c>
      <c r="E45" s="12">
        <f>TireHeight_in*25.4</f>
        <v>805.18</v>
      </c>
      <c r="F45" s="12">
        <f>TireHeight_in*25.4</f>
        <v>830.58</v>
      </c>
      <c r="G45" s="12">
        <f>TireHeight_in*25.4</f>
        <v>881.38</v>
      </c>
      <c r="H45" s="12">
        <f>TireHeight_in*25.4</f>
        <v>965.1999999999999</v>
      </c>
      <c r="I45" s="12">
        <f t="shared" si="11"/>
        <v>805.18</v>
      </c>
      <c r="J45" s="12">
        <f t="shared" si="11"/>
        <v>805.18</v>
      </c>
      <c r="K45" s="12">
        <f t="shared" si="11"/>
        <v>838.1999999999999</v>
      </c>
      <c r="L45" s="12">
        <f t="shared" si="11"/>
        <v>848.3599999999999</v>
      </c>
      <c r="M45" s="12">
        <f t="shared" si="11"/>
        <v>840.74</v>
      </c>
      <c r="N45" s="12">
        <f t="shared" si="11"/>
        <v>889</v>
      </c>
      <c r="O45" s="12">
        <f t="shared" si="11"/>
        <v>889</v>
      </c>
      <c r="P45" s="12">
        <f t="shared" si="11"/>
        <v>894.08</v>
      </c>
      <c r="Q45" s="12">
        <f t="shared" si="11"/>
        <v>883.9199999999998</v>
      </c>
      <c r="R45" s="12">
        <f t="shared" si="11"/>
        <v>914.4</v>
      </c>
      <c r="S45" s="12">
        <f t="shared" si="11"/>
        <v>914.4</v>
      </c>
      <c r="T45" s="13">
        <f t="shared" si="11"/>
        <v>1117.6</v>
      </c>
      <c r="U45" s="47" t="s">
        <v>91</v>
      </c>
      <c r="V45" s="2"/>
      <c r="W45" s="2"/>
      <c r="X45" s="2"/>
      <c r="Y45" s="2"/>
      <c r="Z45" s="2"/>
      <c r="AA45" s="2"/>
    </row>
    <row r="46" spans="1:27" ht="12.75">
      <c r="A46" s="113"/>
      <c r="B46" s="33" t="s">
        <v>179</v>
      </c>
      <c r="C46" s="107">
        <f>RimWidth_in/2+RimOffset/25.4</f>
        <v>4.366141732283465</v>
      </c>
      <c r="D46" s="106">
        <f aca="true" t="shared" si="12" ref="D46:T46">RimWidth_in/2+RimOffset/25.4</f>
        <v>4.366141732283465</v>
      </c>
      <c r="E46" s="106">
        <f t="shared" si="12"/>
        <v>4.366141732283465</v>
      </c>
      <c r="F46" s="106">
        <f t="shared" si="12"/>
        <v>3.149606299212598</v>
      </c>
      <c r="G46" s="106">
        <f t="shared" si="12"/>
        <v>3.149606299212598</v>
      </c>
      <c r="H46" s="106">
        <f t="shared" si="12"/>
        <v>3.4566929133858264</v>
      </c>
      <c r="I46" s="106">
        <f t="shared" si="12"/>
        <v>4.366141732283465</v>
      </c>
      <c r="J46" s="106">
        <f t="shared" si="12"/>
        <v>2.0039370078740157</v>
      </c>
      <c r="K46" s="106">
        <f t="shared" si="12"/>
        <v>3.149606299212598</v>
      </c>
      <c r="L46" s="106">
        <f t="shared" si="12"/>
        <v>3.149606299212598</v>
      </c>
      <c r="M46" s="106">
        <f t="shared" si="12"/>
        <v>3.149606299212598</v>
      </c>
      <c r="N46" s="106">
        <f t="shared" si="12"/>
        <v>3.149606299212598</v>
      </c>
      <c r="O46" s="106">
        <f t="shared" si="12"/>
        <v>3.1259842519685037</v>
      </c>
      <c r="P46" s="106">
        <f t="shared" si="12"/>
        <v>3.1259842519685037</v>
      </c>
      <c r="Q46" s="106">
        <f t="shared" si="12"/>
        <v>3.1259842519685037</v>
      </c>
      <c r="R46" s="106">
        <f t="shared" si="12"/>
        <v>3.1259842519685037</v>
      </c>
      <c r="S46" s="106">
        <f t="shared" si="12"/>
        <v>3.4566929133858264</v>
      </c>
      <c r="T46" s="108">
        <f t="shared" si="12"/>
        <v>2.594488188976378</v>
      </c>
      <c r="U46" s="47"/>
      <c r="V46" s="2"/>
      <c r="W46" s="2"/>
      <c r="X46" s="2"/>
      <c r="Y46" s="2"/>
      <c r="Z46" s="2"/>
      <c r="AA46" s="2"/>
    </row>
    <row r="47" spans="1:27" ht="14.25" customHeight="1">
      <c r="A47" s="113"/>
      <c r="B47" s="33" t="s">
        <v>102</v>
      </c>
      <c r="C47" s="7">
        <f aca="true" t="shared" si="13" ref="C47:I47">RimHeight+(TireHeight-RimHeight)*0.82</f>
        <v>677.164</v>
      </c>
      <c r="D47" s="12">
        <f t="shared" si="13"/>
        <v>707.9995999999999</v>
      </c>
      <c r="E47" s="12">
        <f t="shared" si="13"/>
        <v>728.8276</v>
      </c>
      <c r="F47" s="12">
        <f t="shared" si="13"/>
        <v>749.6556</v>
      </c>
      <c r="G47" s="12">
        <f t="shared" si="13"/>
        <v>791.3116</v>
      </c>
      <c r="H47" s="12">
        <f t="shared" si="13"/>
        <v>860.0439999999999</v>
      </c>
      <c r="I47" s="12">
        <f t="shared" si="13"/>
        <v>733.3996</v>
      </c>
      <c r="J47" s="12">
        <f aca="true" t="shared" si="14" ref="J47:T47">RimHeight+(TireHeight-RimHeight)*0.82</f>
        <v>733.3996</v>
      </c>
      <c r="K47" s="12">
        <f t="shared" si="14"/>
        <v>755.904</v>
      </c>
      <c r="L47" s="12">
        <f t="shared" si="14"/>
        <v>764.2351999999998</v>
      </c>
      <c r="M47" s="12">
        <f t="shared" si="14"/>
        <v>757.9867999999999</v>
      </c>
      <c r="N47" s="12">
        <f t="shared" si="14"/>
        <v>797.56</v>
      </c>
      <c r="O47" s="12">
        <f t="shared" si="14"/>
        <v>797.56</v>
      </c>
      <c r="P47" s="12">
        <f t="shared" si="14"/>
        <v>801.7256</v>
      </c>
      <c r="Q47" s="12">
        <f t="shared" si="14"/>
        <v>793.3943999999999</v>
      </c>
      <c r="R47" s="12">
        <f t="shared" si="14"/>
        <v>818.3879999999999</v>
      </c>
      <c r="S47" s="12">
        <f t="shared" si="14"/>
        <v>818.3879999999999</v>
      </c>
      <c r="T47" s="13">
        <f t="shared" si="14"/>
        <v>985.012</v>
      </c>
      <c r="U47" s="47" t="s">
        <v>113</v>
      </c>
      <c r="V47" s="2"/>
      <c r="W47" s="2"/>
      <c r="X47" s="2"/>
      <c r="Y47" s="2"/>
      <c r="Z47" s="2"/>
      <c r="AA47" s="2"/>
    </row>
    <row r="48" spans="1:27" ht="12.75">
      <c r="A48" s="113"/>
      <c r="B48" s="33" t="s">
        <v>21</v>
      </c>
      <c r="C48" s="7">
        <f>TireWidth_in*25.4</f>
        <v>254</v>
      </c>
      <c r="D48" s="12">
        <f aca="true" t="shared" si="15" ref="D48:T48">TireWidth_in*25.4</f>
        <v>266.7</v>
      </c>
      <c r="E48" s="12">
        <f>TireWidth_in*25.4</f>
        <v>292.09999999999997</v>
      </c>
      <c r="F48" s="12">
        <f>TireWidth_in*25.4</f>
        <v>317.5</v>
      </c>
      <c r="G48" s="12">
        <f>TireWidth_in*25.4</f>
        <v>317.5</v>
      </c>
      <c r="H48" s="12">
        <f>TireWidth_in*25.4</f>
        <v>398.78</v>
      </c>
      <c r="I48" s="12">
        <f t="shared" si="15"/>
        <v>266.7</v>
      </c>
      <c r="J48" s="12">
        <f t="shared" si="15"/>
        <v>266.7</v>
      </c>
      <c r="K48" s="12">
        <f t="shared" si="15"/>
        <v>314.96</v>
      </c>
      <c r="L48" s="12">
        <f t="shared" si="15"/>
        <v>317.5</v>
      </c>
      <c r="M48" s="12">
        <f t="shared" si="15"/>
        <v>353.06</v>
      </c>
      <c r="N48" s="12">
        <f t="shared" si="15"/>
        <v>327.65999999999997</v>
      </c>
      <c r="O48" s="12">
        <f t="shared" si="15"/>
        <v>327.65999999999997</v>
      </c>
      <c r="P48" s="12">
        <f t="shared" si="15"/>
        <v>368.29999999999995</v>
      </c>
      <c r="Q48" s="12">
        <f t="shared" si="15"/>
        <v>365.76</v>
      </c>
      <c r="R48" s="12">
        <f t="shared" si="15"/>
        <v>396.23999999999995</v>
      </c>
      <c r="S48" s="12">
        <f t="shared" si="15"/>
        <v>396.23999999999995</v>
      </c>
      <c r="T48" s="13">
        <f t="shared" si="15"/>
        <v>469.9</v>
      </c>
      <c r="U48" s="47" t="s">
        <v>175</v>
      </c>
      <c r="V48" s="2"/>
      <c r="W48" s="2"/>
      <c r="X48" s="2"/>
      <c r="Y48" s="2"/>
      <c r="Z48" s="2"/>
      <c r="AA48" s="2"/>
    </row>
    <row r="49" spans="1:27" ht="12.75">
      <c r="A49" s="113"/>
      <c r="B49" s="33" t="s">
        <v>177</v>
      </c>
      <c r="C49" s="7">
        <f aca="true" t="shared" si="16" ref="C49:M49">(TireWidth_in+(RimWidth_in-StdRimWidth_in)/2.5)*25.4</f>
        <v>254</v>
      </c>
      <c r="D49" s="12">
        <f t="shared" si="16"/>
        <v>251.46</v>
      </c>
      <c r="E49" s="12">
        <f t="shared" si="16"/>
        <v>271.78</v>
      </c>
      <c r="F49" s="12">
        <f t="shared" si="16"/>
        <v>317.5</v>
      </c>
      <c r="G49" s="12">
        <f t="shared" si="16"/>
        <v>317.5</v>
      </c>
      <c r="H49" s="12">
        <f t="shared" si="16"/>
        <v>419.09999999999997</v>
      </c>
      <c r="I49" s="12">
        <f t="shared" si="16"/>
        <v>261.62</v>
      </c>
      <c r="J49" s="12">
        <f t="shared" si="16"/>
        <v>261.62</v>
      </c>
      <c r="K49" s="12">
        <f t="shared" si="16"/>
        <v>314.96</v>
      </c>
      <c r="L49" s="12">
        <f t="shared" si="16"/>
        <v>317.5</v>
      </c>
      <c r="M49" s="12">
        <f t="shared" si="16"/>
        <v>353.06</v>
      </c>
      <c r="N49" s="12">
        <f aca="true" t="shared" si="17" ref="N49:T49">(TireWidth_in+(RimWidth_in-StdRimWidth_in)/2.5)*25.4</f>
        <v>327.65999999999997</v>
      </c>
      <c r="O49" s="12">
        <f t="shared" si="17"/>
        <v>347.98</v>
      </c>
      <c r="P49" s="12">
        <f t="shared" si="17"/>
        <v>378.46</v>
      </c>
      <c r="Q49" s="12">
        <f t="shared" si="17"/>
        <v>375.92</v>
      </c>
      <c r="R49" s="12">
        <f t="shared" si="17"/>
        <v>396.23999999999995</v>
      </c>
      <c r="S49" s="12">
        <f t="shared" si="17"/>
        <v>416.55999999999995</v>
      </c>
      <c r="T49" s="13">
        <f t="shared" si="17"/>
        <v>520.6999999999999</v>
      </c>
      <c r="U49" s="47" t="s">
        <v>176</v>
      </c>
      <c r="V49" s="2"/>
      <c r="W49" s="2"/>
      <c r="X49" s="2"/>
      <c r="Y49" s="2"/>
      <c r="Z49" s="2"/>
      <c r="AA49" s="2"/>
    </row>
    <row r="50" spans="1:27" ht="12.75">
      <c r="A50" s="113"/>
      <c r="B50" s="33" t="s">
        <v>159</v>
      </c>
      <c r="C50" s="7">
        <f>(3*CorrectedTireWidth+AppTireTreadWidth_in*25.4)/4</f>
        <v>241.3</v>
      </c>
      <c r="D50" s="12">
        <f aca="true" t="shared" si="18" ref="D50:T50">(3*CorrectedTireWidth+AppTireTreadWidth_in*25.4)/4</f>
        <v>241.935</v>
      </c>
      <c r="E50" s="12">
        <f t="shared" si="18"/>
        <v>262.255</v>
      </c>
      <c r="F50" s="12">
        <f t="shared" si="18"/>
        <v>301.625</v>
      </c>
      <c r="G50" s="12">
        <f t="shared" si="18"/>
        <v>301.625</v>
      </c>
      <c r="H50" s="12">
        <f t="shared" si="18"/>
        <v>391.79499999999996</v>
      </c>
      <c r="I50" s="12">
        <f t="shared" si="18"/>
        <v>249.555</v>
      </c>
      <c r="J50" s="12">
        <f t="shared" si="18"/>
        <v>249.555</v>
      </c>
      <c r="K50" s="12">
        <f t="shared" si="18"/>
        <v>298.45</v>
      </c>
      <c r="L50" s="12">
        <f t="shared" si="18"/>
        <v>305.435</v>
      </c>
      <c r="M50" s="12">
        <f t="shared" si="18"/>
        <v>335.40700000000004</v>
      </c>
      <c r="N50" s="12">
        <f t="shared" si="18"/>
        <v>310.515</v>
      </c>
      <c r="O50" s="12">
        <f t="shared" si="18"/>
        <v>325.755</v>
      </c>
      <c r="P50" s="12">
        <f t="shared" si="18"/>
        <v>361.31499999999994</v>
      </c>
      <c r="Q50" s="12">
        <f t="shared" si="18"/>
        <v>355.092</v>
      </c>
      <c r="R50" s="12">
        <f t="shared" si="18"/>
        <v>374.6499999999999</v>
      </c>
      <c r="S50" s="12">
        <f t="shared" si="18"/>
        <v>389.88999999999993</v>
      </c>
      <c r="T50" s="13">
        <f t="shared" si="18"/>
        <v>479.42499999999995</v>
      </c>
      <c r="U50" s="47" t="s">
        <v>178</v>
      </c>
      <c r="V50" s="2"/>
      <c r="W50" s="2"/>
      <c r="X50" s="2"/>
      <c r="Y50" s="2"/>
      <c r="Z50" s="2"/>
      <c r="AA50" s="2"/>
    </row>
    <row r="51" spans="1:27" ht="13.5" thickBot="1">
      <c r="A51" s="113"/>
      <c r="B51" s="33" t="s">
        <v>25</v>
      </c>
      <c r="C51" s="7">
        <f>Tread+2*(CorrectedTireWidth/2-RimOffset)</f>
        <v>1725</v>
      </c>
      <c r="D51" s="12">
        <f aca="true" t="shared" si="19" ref="D51:T51">Tread+2*(CorrectedTireWidth/2-RimOffset)</f>
        <v>1722.46</v>
      </c>
      <c r="E51" s="12">
        <f t="shared" si="19"/>
        <v>1742.78</v>
      </c>
      <c r="F51" s="12">
        <f t="shared" si="19"/>
        <v>1926.5</v>
      </c>
      <c r="G51" s="12">
        <f t="shared" si="19"/>
        <v>1926.5</v>
      </c>
      <c r="H51" s="12">
        <f t="shared" si="19"/>
        <v>2114.1</v>
      </c>
      <c r="I51" s="12">
        <f t="shared" si="19"/>
        <v>1732.62</v>
      </c>
      <c r="J51" s="12">
        <f t="shared" si="19"/>
        <v>1852.62</v>
      </c>
      <c r="K51" s="12">
        <f t="shared" si="19"/>
        <v>1923.96</v>
      </c>
      <c r="L51" s="12">
        <f t="shared" si="19"/>
        <v>1926.5</v>
      </c>
      <c r="M51" s="12">
        <f t="shared" si="19"/>
        <v>1962.06</v>
      </c>
      <c r="N51" s="12">
        <f t="shared" si="19"/>
        <v>1936.6599999999999</v>
      </c>
      <c r="O51" s="12">
        <f t="shared" si="19"/>
        <v>2008.98</v>
      </c>
      <c r="P51" s="12">
        <f t="shared" si="19"/>
        <v>2039.46</v>
      </c>
      <c r="Q51" s="12">
        <f t="shared" si="19"/>
        <v>2036.92</v>
      </c>
      <c r="R51" s="12">
        <f t="shared" si="19"/>
        <v>2057.24</v>
      </c>
      <c r="S51" s="12">
        <f t="shared" si="19"/>
        <v>2111.56</v>
      </c>
      <c r="T51" s="13">
        <f t="shared" si="19"/>
        <v>2335.7</v>
      </c>
      <c r="U51" s="47" t="s">
        <v>87</v>
      </c>
      <c r="V51" s="2"/>
      <c r="W51" s="2"/>
      <c r="X51" s="2"/>
      <c r="Y51" s="2"/>
      <c r="Z51" s="2"/>
      <c r="AA51" s="2"/>
    </row>
    <row r="52" spans="1:27" ht="13.5" thickBot="1">
      <c r="A52" s="113"/>
      <c r="B52" s="33" t="s">
        <v>0</v>
      </c>
      <c r="C52" s="99">
        <v>1515</v>
      </c>
      <c r="D52" s="12">
        <v>1515</v>
      </c>
      <c r="E52" s="12">
        <v>1515</v>
      </c>
      <c r="F52" s="12">
        <v>1515</v>
      </c>
      <c r="G52" s="12">
        <v>1515</v>
      </c>
      <c r="H52" s="12">
        <v>1515</v>
      </c>
      <c r="I52" s="12">
        <v>1515</v>
      </c>
      <c r="J52" s="12">
        <v>1515</v>
      </c>
      <c r="K52" s="12">
        <v>1515</v>
      </c>
      <c r="L52" s="12">
        <v>1515</v>
      </c>
      <c r="M52" s="12">
        <v>1515</v>
      </c>
      <c r="N52" s="12">
        <v>1515</v>
      </c>
      <c r="O52" s="12">
        <v>1515</v>
      </c>
      <c r="P52" s="12">
        <v>1515</v>
      </c>
      <c r="Q52" s="12">
        <v>1515</v>
      </c>
      <c r="R52" s="12">
        <v>1515</v>
      </c>
      <c r="S52" s="12">
        <v>1515</v>
      </c>
      <c r="T52" s="13">
        <v>1515</v>
      </c>
      <c r="U52" s="47" t="s">
        <v>76</v>
      </c>
      <c r="V52" s="2"/>
      <c r="W52" s="2"/>
      <c r="X52" s="2"/>
      <c r="Y52" s="2"/>
      <c r="Z52" s="2"/>
      <c r="AA52" s="2"/>
    </row>
    <row r="53" spans="1:27" ht="12.75">
      <c r="A53" s="113"/>
      <c r="B53" s="33" t="s">
        <v>63</v>
      </c>
      <c r="C53" s="9">
        <f>IF(TireTreadWidth_in,TireTreadWidth_in,TireWidth_in*0.8)</f>
        <v>8</v>
      </c>
      <c r="D53" s="18">
        <f aca="true" t="shared" si="20" ref="D53:T53">IF(TireTreadWidth_in,TireTreadWidth_in,TireWidth_in*0.8)</f>
        <v>8.4</v>
      </c>
      <c r="E53" s="18">
        <f t="shared" si="20"/>
        <v>9.200000000000001</v>
      </c>
      <c r="F53" s="18">
        <f t="shared" si="20"/>
        <v>10</v>
      </c>
      <c r="G53" s="18">
        <f t="shared" si="20"/>
        <v>10</v>
      </c>
      <c r="H53" s="18">
        <f t="shared" si="20"/>
        <v>12.2</v>
      </c>
      <c r="I53" s="18">
        <f t="shared" si="20"/>
        <v>8.4</v>
      </c>
      <c r="J53" s="18">
        <f t="shared" si="20"/>
        <v>8.4</v>
      </c>
      <c r="K53" s="18">
        <f t="shared" si="20"/>
        <v>9.8</v>
      </c>
      <c r="L53" s="18">
        <f t="shared" si="20"/>
        <v>10.6</v>
      </c>
      <c r="M53" s="18">
        <f t="shared" si="20"/>
        <v>11.120000000000001</v>
      </c>
      <c r="N53" s="18">
        <f t="shared" si="20"/>
        <v>10.2</v>
      </c>
      <c r="O53" s="18">
        <f t="shared" si="20"/>
        <v>10.2</v>
      </c>
      <c r="P53" s="18">
        <f t="shared" si="20"/>
        <v>12.2</v>
      </c>
      <c r="Q53" s="18">
        <f t="shared" si="20"/>
        <v>11.520000000000001</v>
      </c>
      <c r="R53" s="18">
        <f t="shared" si="20"/>
        <v>12.2</v>
      </c>
      <c r="S53" s="18">
        <f t="shared" si="20"/>
        <v>12.2</v>
      </c>
      <c r="T53" s="19">
        <f t="shared" si="20"/>
        <v>14</v>
      </c>
      <c r="U53" s="47" t="s">
        <v>165</v>
      </c>
      <c r="V53" s="2"/>
      <c r="W53" s="2"/>
      <c r="X53" s="2"/>
      <c r="Y53" s="2"/>
      <c r="Z53" s="2"/>
      <c r="AA53" s="2"/>
    </row>
    <row r="54" spans="1:27" ht="13.5" thickBot="1">
      <c r="A54" s="114"/>
      <c r="B54" s="33" t="s">
        <v>52</v>
      </c>
      <c r="C54" s="7">
        <f>Tread+2*(AppTireTreadWidth_in*25.4/2-RimOffset)-(TireHeight-EffectiveTireHeight)</f>
        <v>1614.7640000000001</v>
      </c>
      <c r="D54" s="12">
        <f aca="true" t="shared" si="21" ref="D54:T54">Tread+2*(AppTireTreadWidth_in*25.4/2-RimOffset)-(TireHeight-EffectiveTireHeight)</f>
        <v>1612.5795999999998</v>
      </c>
      <c r="E54" s="12">
        <f>Tread+2*(AppTireTreadWidth_in*25.4/2-RimOffset)-(TireHeight-EffectiveTireHeight)</f>
        <v>1628.3276</v>
      </c>
      <c r="F54" s="12">
        <f>Tread+2*(AppTireTreadWidth_in*25.4/2-RimOffset)-(TireHeight-EffectiveTireHeight)</f>
        <v>1782.0756000000001</v>
      </c>
      <c r="G54" s="12">
        <f>Tread+2*(AppTireTreadWidth_in*25.4/2-RimOffset)-(TireHeight-EffectiveTireHeight)</f>
        <v>1772.9316</v>
      </c>
      <c r="H54" s="12">
        <f>Tread+2*(AppTireTreadWidth_in*25.4/2-RimOffset)-(TireHeight-EffectiveTireHeight)</f>
        <v>1899.7239999999997</v>
      </c>
      <c r="I54" s="12">
        <f t="shared" si="21"/>
        <v>1612.5796</v>
      </c>
      <c r="J54" s="12">
        <f t="shared" si="21"/>
        <v>1732.5796</v>
      </c>
      <c r="K54" s="12">
        <f t="shared" si="21"/>
        <v>1775.6240000000003</v>
      </c>
      <c r="L54" s="12">
        <f t="shared" si="21"/>
        <v>1794.1152</v>
      </c>
      <c r="M54" s="12">
        <f t="shared" si="21"/>
        <v>1808.6948</v>
      </c>
      <c r="N54" s="12">
        <f t="shared" si="21"/>
        <v>1776.6399999999999</v>
      </c>
      <c r="O54" s="12">
        <f t="shared" si="21"/>
        <v>1828.6399999999999</v>
      </c>
      <c r="P54" s="12">
        <f t="shared" si="21"/>
        <v>1878.5256</v>
      </c>
      <c r="Q54" s="12">
        <f t="shared" si="21"/>
        <v>1863.0824</v>
      </c>
      <c r="R54" s="12">
        <f t="shared" si="21"/>
        <v>1874.868</v>
      </c>
      <c r="S54" s="12">
        <f t="shared" si="21"/>
        <v>1908.868</v>
      </c>
      <c r="T54" s="13">
        <f t="shared" si="21"/>
        <v>2038.012</v>
      </c>
      <c r="U54" s="47" t="s">
        <v>129</v>
      </c>
      <c r="V54" s="2"/>
      <c r="W54" s="2"/>
      <c r="X54" s="2"/>
      <c r="Y54" s="2"/>
      <c r="Z54" s="2"/>
      <c r="AA54" s="2"/>
    </row>
    <row r="55" spans="1:27" ht="12.75">
      <c r="A55" s="112" t="s">
        <v>106</v>
      </c>
      <c r="B55" s="35" t="s">
        <v>26</v>
      </c>
      <c r="C55" s="53">
        <f>BodyClearance Base+(TireHeight+EffectiveTireHeight)/2-(TireHeight Base+EffectiveTireHeight Base)/2+SuspTravelDelta/2</f>
        <v>338.582</v>
      </c>
      <c r="D55" s="10">
        <f>BodyClearance Base+(TireHeight+EffectiveTireHeight)/2-(TireHeight Base+EffectiveTireHeight Base)/2+SuspTravelDelta/2</f>
        <v>375.58979999999985</v>
      </c>
      <c r="E55" s="10">
        <f>BodyClearance Base+(TireHeight+EffectiveTireHeight)/2-(TireHeight Base+EffectiveTireHeight Base)/2+SuspTravelDelta/2</f>
        <v>398.7037999999999</v>
      </c>
      <c r="F55" s="10">
        <f>BodyClearance Base+(TireHeight+EffectiveTireHeight)/2-(TireHeight Base+EffectiveTireHeight Base)/2+SuspTravelDelta/2</f>
        <v>421.8177999999999</v>
      </c>
      <c r="G55" s="10">
        <f>BodyClearance Base+(TireHeight+EffectiveTireHeight)/2-(TireHeight Base+EffectiveTireHeight Base)/2+SuspTravelDelta/2</f>
        <v>468.0458</v>
      </c>
      <c r="H55" s="10">
        <f>BodyClearance Base+(TireHeight+EffectiveTireHeight)/2-(TireHeight Base+EffectiveTireHeight Base)/2+SuspTravelDelta/2</f>
        <v>544.3219999999998</v>
      </c>
      <c r="I55" s="10">
        <f>BodyClearance Base+(TireHeight+EffectiveTireHeight)/2-(TireHeight Base+EffectiveTireHeight Base)/2+SuspTravelDelta/2</f>
        <v>400.98979999999995</v>
      </c>
      <c r="J55" s="10">
        <f>BodyClearance Base+(TireHeight+EffectiveTireHeight)/2-(TireHeight Base+EffectiveTireHeight Base)/2+SuspTravelDelta/2</f>
        <v>400.98979999999995</v>
      </c>
      <c r="K55" s="10">
        <f>BodyClearance Base+(TireHeight+EffectiveTireHeight)/2-(TireHeight Base+EffectiveTireHeight Base)/2+SuspTravelDelta/2</f>
        <v>428.75200000000007</v>
      </c>
      <c r="L55" s="10">
        <f>BodyClearance Base+(TireHeight+EffectiveTireHeight)/2-(TireHeight Base+EffectiveTireHeight Base)/2+SuspTravelDelta/2</f>
        <v>437.9975999999998</v>
      </c>
      <c r="M55" s="10">
        <f>BodyClearance Base+(TireHeight+EffectiveTireHeight)/2-(TireHeight Base+EffectiveTireHeight Base)/2+SuspTravelDelta/2</f>
        <v>431.0634000000001</v>
      </c>
      <c r="N55" s="10">
        <f>BodyClearance Base+(TireHeight+EffectiveTireHeight)/2-(TireHeight Base+EffectiveTireHeight Base)/2+SuspTravelDelta/2</f>
        <v>474.98000000000013</v>
      </c>
      <c r="O55" s="10">
        <f>BodyClearance Base+(TireHeight+EffectiveTireHeight)/2-(TireHeight Base+EffectiveTireHeight Base)/2+SuspTravelDelta/2</f>
        <v>474.98000000000013</v>
      </c>
      <c r="P55" s="10">
        <f>BodyClearance Base+(TireHeight+EffectiveTireHeight)/2-(TireHeight Base+EffectiveTireHeight Base)/2+SuspTravelDelta/2</f>
        <v>479.60280000000023</v>
      </c>
      <c r="Q55" s="10">
        <f>BodyClearance Base+(TireHeight+EffectiveTireHeight)/2-(TireHeight Base+EffectiveTireHeight Base)/2+SuspTravelDelta/2</f>
        <v>470.35720000000003</v>
      </c>
      <c r="R55" s="10">
        <f>BodyClearance Base+(TireHeight+EffectiveTireHeight)/2-(TireHeight Base+EffectiveTireHeight Base)/2+SuspTravelDelta/2</f>
        <v>498.09400000000016</v>
      </c>
      <c r="S55" s="10">
        <f>BodyClearance Base+(TireHeight+EffectiveTireHeight)/2-(TireHeight Base+EffectiveTireHeight Base)/2+SuspTravelDelta/2</f>
        <v>498.09400000000016</v>
      </c>
      <c r="T55" s="11">
        <f>BodyClearance Base+(TireHeight+EffectiveTireHeight)/2-(TireHeight Base+EffectiveTireHeight Base)/2+SuspTravelDelta/2</f>
        <v>703.006</v>
      </c>
      <c r="U55" s="50" t="s">
        <v>92</v>
      </c>
      <c r="V55" s="2"/>
      <c r="W55" s="2"/>
      <c r="X55" s="2"/>
      <c r="Y55" s="2"/>
      <c r="Z55" s="2"/>
      <c r="AA55" s="2"/>
    </row>
    <row r="56" spans="1:27" ht="13.5" thickBot="1">
      <c r="A56" s="113"/>
      <c r="B56" s="33" t="s">
        <v>200</v>
      </c>
      <c r="C56" s="7">
        <f>MAX(Tread+2*(AppTireTreadWidth_in*25.4/2-RimOffset),Tread+2*(RimWidth_in*25.4/2-RimOffset))</f>
        <v>1674.2</v>
      </c>
      <c r="D56" s="12">
        <f>MAX(Tread+2*(AppTireTreadWidth_in*25.4/2-RimOffset),Tread+2*(RimWidth_in*25.4/2-RimOffset))</f>
        <v>1684.36</v>
      </c>
      <c r="E56" s="12">
        <f>MAX(Tread+2*(AppTireTreadWidth_in*25.4/2-RimOffset),Tread+2*(RimWidth_in*25.4/2-RimOffset))</f>
        <v>1704.68</v>
      </c>
      <c r="F56" s="12">
        <f aca="true" t="shared" si="22" ref="F56:T56">MAX(Tread+2*(AppTireTreadWidth_in*25.4/2-RimOffset),Tread+2*(RimWidth_in*25.4/2-RimOffset))</f>
        <v>1863</v>
      </c>
      <c r="G56" s="12">
        <f t="shared" si="22"/>
        <v>1863</v>
      </c>
      <c r="H56" s="12">
        <f t="shared" si="22"/>
        <v>2050.6</v>
      </c>
      <c r="I56" s="12">
        <f t="shared" si="22"/>
        <v>1684.36</v>
      </c>
      <c r="J56" s="12">
        <f t="shared" si="22"/>
        <v>1804.3600000000001</v>
      </c>
      <c r="K56" s="12">
        <f t="shared" si="22"/>
        <v>1863</v>
      </c>
      <c r="L56" s="12">
        <f t="shared" si="22"/>
        <v>1878.24</v>
      </c>
      <c r="M56" s="12">
        <f t="shared" si="22"/>
        <v>1891.448</v>
      </c>
      <c r="N56" s="12">
        <f t="shared" si="22"/>
        <v>1868.08</v>
      </c>
      <c r="O56" s="12">
        <f t="shared" si="22"/>
        <v>1965.8</v>
      </c>
      <c r="P56" s="12">
        <f t="shared" si="22"/>
        <v>1970.8799999999999</v>
      </c>
      <c r="Q56" s="12">
        <f t="shared" si="22"/>
        <v>1965.8</v>
      </c>
      <c r="R56" s="12">
        <f t="shared" si="22"/>
        <v>1970.8799999999999</v>
      </c>
      <c r="S56" s="12">
        <f t="shared" si="22"/>
        <v>2050.6</v>
      </c>
      <c r="T56" s="13">
        <f t="shared" si="22"/>
        <v>2246.8</v>
      </c>
      <c r="V56" s="2"/>
      <c r="W56" s="2"/>
      <c r="X56" s="2"/>
      <c r="Y56" s="2"/>
      <c r="Z56" s="2"/>
      <c r="AA56" s="2"/>
    </row>
    <row r="57" spans="1:27" ht="13.5" thickBot="1">
      <c r="A57" s="113"/>
      <c r="B57" s="33" t="s">
        <v>164</v>
      </c>
      <c r="C57" s="99">
        <v>30</v>
      </c>
      <c r="D57" s="62">
        <v>30</v>
      </c>
      <c r="E57" s="62">
        <v>30</v>
      </c>
      <c r="F57" s="62">
        <v>30</v>
      </c>
      <c r="G57" s="62">
        <v>30</v>
      </c>
      <c r="H57" s="62">
        <v>30</v>
      </c>
      <c r="I57" s="62">
        <v>30</v>
      </c>
      <c r="J57" s="62">
        <v>30</v>
      </c>
      <c r="K57" s="62">
        <v>30</v>
      </c>
      <c r="L57" s="62">
        <v>30</v>
      </c>
      <c r="M57" s="62">
        <v>30</v>
      </c>
      <c r="N57" s="62">
        <v>30</v>
      </c>
      <c r="O57" s="62">
        <v>30</v>
      </c>
      <c r="P57" s="62">
        <v>30</v>
      </c>
      <c r="Q57" s="62">
        <v>30</v>
      </c>
      <c r="R57" s="62">
        <v>30</v>
      </c>
      <c r="S57" s="62">
        <v>30</v>
      </c>
      <c r="T57" s="6">
        <v>30</v>
      </c>
      <c r="U57" s="50" t="s">
        <v>198</v>
      </c>
      <c r="V57" s="2"/>
      <c r="W57" s="2"/>
      <c r="X57" s="2"/>
      <c r="Y57" s="2"/>
      <c r="Z57" s="2"/>
      <c r="AA57" s="2"/>
    </row>
    <row r="58" spans="1:27" ht="13.5" thickBot="1">
      <c r="A58" s="114"/>
      <c r="B58" s="36" t="s">
        <v>28</v>
      </c>
      <c r="C58" s="52">
        <f>RimOffset Base-((AppTireTreadWidth_in-AppTireTreadWidth_in Base)*25.4/2+(TireHeight-TireHeight Base)/2*SIN(RADIANS(MaxSteeringWheelAngle)))</f>
        <v>22</v>
      </c>
      <c r="D58" s="14">
        <f>RimOffset Base-((AppTireTreadWidth_in-AppTireTreadWidth_in Base)*25.4/2+(TireHeight-TireHeight Base)/2*SIN(RADIANS(MaxSteeringWheelAngle)))</f>
        <v>6.124999999999982</v>
      </c>
      <c r="E58" s="14">
        <f>RimOffset Base-((AppTireTreadWidth_in-AppTireTreadWidth_in Base)*25.4/2+(TireHeight-TireHeight Base)/2*SIN(RADIANS(MaxSteeringWheelAngle)))</f>
        <v>-10.38500000000002</v>
      </c>
      <c r="F58" s="14">
        <f>RimOffset Base-((AppTireTreadWidth_in-AppTireTreadWidth_in Base)*25.4/2+(TireHeight-TireHeight Base)/2*SIN(RADIANS(MaxSteeringWheelAngle)))</f>
        <v>-26.895000000000024</v>
      </c>
      <c r="G58" s="14">
        <f>RimOffset Base-((AppTireTreadWidth_in-AppTireTreadWidth_in Base)*25.4/2+(TireHeight-TireHeight Base)/2*SIN(RADIANS(MaxSteeringWheelAngle)))</f>
        <v>-39.59500000000001</v>
      </c>
      <c r="H58" s="14">
        <f>RimOffset Base-((AppTireTreadWidth_in-AppTireTreadWidth_in Base)*25.4/2+(TireHeight-TireHeight Base)/2*SIN(RADIANS(MaxSteeringWheelAngle)))</f>
        <v>-88.48999999999998</v>
      </c>
      <c r="I58" s="14">
        <f>RimOffset Base-((AppTireTreadWidth_in-AppTireTreadWidth_in Base)*25.4/2+(TireHeight-TireHeight Base)/2*SIN(RADIANS(MaxSteeringWheelAngle)))</f>
        <v>-0.22500000000001208</v>
      </c>
      <c r="J58" s="14">
        <f>RimOffset Base-((AppTireTreadWidth_in-AppTireTreadWidth_in Base)*25.4/2+(TireHeight-TireHeight Base)/2*SIN(RADIANS(MaxSteeringWheelAngle)))</f>
        <v>-0.22500000000001208</v>
      </c>
      <c r="K58" s="14">
        <f>RimOffset Base-((AppTireTreadWidth_in-AppTireTreadWidth_in Base)*25.4/2+(TireHeight-TireHeight Base)/2*SIN(RADIANS(MaxSteeringWheelAngle)))</f>
        <v>-26.260000000000005</v>
      </c>
      <c r="L58" s="14">
        <f>RimOffset Base-((AppTireTreadWidth_in-AppTireTreadWidth_in Base)*25.4/2+(TireHeight-TireHeight Base)/2*SIN(RADIANS(MaxSteeringWheelAngle)))</f>
        <v>-38.959999999999994</v>
      </c>
      <c r="M58" s="14">
        <f>RimOffset Base-((AppTireTreadWidth_in-AppTireTreadWidth_in Base)*25.4/2+(TireHeight-TireHeight Base)/2*SIN(RADIANS(MaxSteeringWheelAngle)))</f>
        <v>-43.659000000000034</v>
      </c>
      <c r="N58" s="14">
        <f>RimOffset Base-((AppTireTreadWidth_in-AppTireTreadWidth_in Base)*25.4/2+(TireHeight-TireHeight Base)/2*SIN(RADIANS(MaxSteeringWheelAngle)))</f>
        <v>-44.040000000000006</v>
      </c>
      <c r="O58" s="14">
        <f>RimOffset Base-((AppTireTreadWidth_in-AppTireTreadWidth_in Base)*25.4/2+(TireHeight-TireHeight Base)/2*SIN(RADIANS(MaxSteeringWheelAngle)))</f>
        <v>-44.040000000000006</v>
      </c>
      <c r="P58" s="14">
        <f>RimOffset Base-((AppTireTreadWidth_in-AppTireTreadWidth_in Base)*25.4/2+(TireHeight-TireHeight Base)/2*SIN(RADIANS(MaxSteeringWheelAngle)))</f>
        <v>-70.71000000000001</v>
      </c>
      <c r="Q58" s="14">
        <f>RimOffset Base-((AppTireTreadWidth_in-AppTireTreadWidth_in Base)*25.4/2+(TireHeight-TireHeight Base)/2*SIN(RADIANS(MaxSteeringWheelAngle)))</f>
        <v>-59.53399999999999</v>
      </c>
      <c r="R58" s="14">
        <f>RimOffset Base-((AppTireTreadWidth_in-AppTireTreadWidth_in Base)*25.4/2+(TireHeight-TireHeight Base)/2*SIN(RADIANS(MaxSteeringWheelAngle)))</f>
        <v>-75.78999999999999</v>
      </c>
      <c r="S58" s="14">
        <f>RimOffset Base-((AppTireTreadWidth_in-AppTireTreadWidth_in Base)*25.4/2+(TireHeight-TireHeight Base)/2*SIN(RADIANS(MaxSteeringWheelAngle)))</f>
        <v>-75.78999999999999</v>
      </c>
      <c r="T58" s="15">
        <f>RimOffset Base-((AppTireTreadWidth_in-AppTireTreadWidth_in Base)*25.4/2+(TireHeight-TireHeight Base)/2*SIN(RADIANS(MaxSteeringWheelAngle)))</f>
        <v>-149.45</v>
      </c>
      <c r="U58" s="50" t="s">
        <v>199</v>
      </c>
      <c r="V58" s="2"/>
      <c r="W58" s="2"/>
      <c r="X58" s="2"/>
      <c r="Y58" s="2"/>
      <c r="Z58" s="2"/>
      <c r="AA58" s="2"/>
    </row>
    <row r="59" spans="1:27" ht="12.75">
      <c r="A59" s="112" t="s">
        <v>142</v>
      </c>
      <c r="B59" s="35" t="s">
        <v>32</v>
      </c>
      <c r="C59" s="54">
        <f>TireHeight*CorrectedTireWidth/1000000</f>
        <v>0.18709639999999997</v>
      </c>
      <c r="D59" s="55">
        <f aca="true" t="shared" si="23" ref="D59:T59">TireHeight*CorrectedTireWidth/1000000</f>
        <v>0.19608347880000002</v>
      </c>
      <c r="E59" s="55">
        <f t="shared" si="23"/>
        <v>0.21883182039999996</v>
      </c>
      <c r="F59" s="55">
        <f t="shared" si="23"/>
        <v>0.26370915</v>
      </c>
      <c r="G59" s="55">
        <f t="shared" si="23"/>
        <v>0.27983815</v>
      </c>
      <c r="H59" s="55">
        <f t="shared" si="23"/>
        <v>0.40451531999999996</v>
      </c>
      <c r="I59" s="55">
        <f t="shared" si="23"/>
        <v>0.21065119159999998</v>
      </c>
      <c r="J59" s="55">
        <f t="shared" si="23"/>
        <v>0.21065119159999998</v>
      </c>
      <c r="K59" s="55">
        <f t="shared" si="23"/>
        <v>0.26399947199999996</v>
      </c>
      <c r="L59" s="55">
        <f t="shared" si="23"/>
        <v>0.2693543</v>
      </c>
      <c r="M59" s="55">
        <f t="shared" si="23"/>
        <v>0.29683166440000003</v>
      </c>
      <c r="N59" s="55">
        <f t="shared" si="23"/>
        <v>0.29128973999999996</v>
      </c>
      <c r="O59" s="55">
        <f t="shared" si="23"/>
        <v>0.30935422</v>
      </c>
      <c r="P59" s="55">
        <f t="shared" si="23"/>
        <v>0.3383735168</v>
      </c>
      <c r="Q59" s="55">
        <f t="shared" si="23"/>
        <v>0.3322832064</v>
      </c>
      <c r="R59" s="55">
        <f t="shared" si="23"/>
        <v>0.362321856</v>
      </c>
      <c r="S59" s="55">
        <f t="shared" si="23"/>
        <v>0.38090246399999994</v>
      </c>
      <c r="T59" s="56">
        <f t="shared" si="23"/>
        <v>0.5819343199999998</v>
      </c>
      <c r="U59" s="47" t="s">
        <v>93</v>
      </c>
      <c r="V59" s="2"/>
      <c r="W59" s="2"/>
      <c r="X59" s="2"/>
      <c r="Y59" s="2"/>
      <c r="Z59" s="2"/>
      <c r="AA59" s="2"/>
    </row>
    <row r="60" spans="1:27" ht="12.75">
      <c r="A60" s="113"/>
      <c r="B60" s="33" t="s">
        <v>33</v>
      </c>
      <c r="C60" s="8">
        <f>2*SQRT(TireHeight/2*TireHeight/2-(HubHeight-FrameClearance)*(HubHeight-FrameClearance))*CorrectedTireWidth/1000000</f>
        <v>0.1845969460553451</v>
      </c>
      <c r="D60" s="16">
        <f aca="true" t="shared" si="24" ref="D60:T60">2*SQRT(TireHeight/2*TireHeight/2-(HubHeight-FrameClearance)*(HubHeight-FrameClearance))*CorrectedTireWidth/1000000</f>
        <v>0.19529181553119435</v>
      </c>
      <c r="E60" s="16">
        <f t="shared" si="24"/>
        <v>0.21800328028361832</v>
      </c>
      <c r="F60" s="16">
        <f t="shared" si="24"/>
        <v>0.26094234189514454</v>
      </c>
      <c r="G60" s="16">
        <f t="shared" si="24"/>
        <v>0.27723235777127914</v>
      </c>
      <c r="H60" s="16">
        <f t="shared" si="24"/>
        <v>0.40442846857102227</v>
      </c>
      <c r="I60" s="16">
        <f t="shared" si="24"/>
        <v>0.21039109411631451</v>
      </c>
      <c r="J60" s="16">
        <f t="shared" si="24"/>
        <v>0.21039109411631451</v>
      </c>
      <c r="K60" s="16">
        <f t="shared" si="24"/>
        <v>0.2639243097852844</v>
      </c>
      <c r="L60" s="16">
        <f t="shared" si="24"/>
        <v>0.26927943929771164</v>
      </c>
      <c r="M60" s="16">
        <f t="shared" si="24"/>
        <v>0.29674766459912405</v>
      </c>
      <c r="N60" s="16">
        <f t="shared" si="24"/>
        <v>0.2912160163847922</v>
      </c>
      <c r="O60" s="16">
        <f t="shared" si="24"/>
        <v>0.30927592437764756</v>
      </c>
      <c r="P60" s="16">
        <f t="shared" si="24"/>
        <v>0.3382888471158337</v>
      </c>
      <c r="Q60" s="16">
        <f t="shared" si="24"/>
        <v>0.33219813803949144</v>
      </c>
      <c r="R60" s="16">
        <f t="shared" si="24"/>
        <v>0.36223517896560614</v>
      </c>
      <c r="S60" s="16">
        <f t="shared" si="24"/>
        <v>0.38081134198948335</v>
      </c>
      <c r="T60" s="17">
        <f t="shared" si="24"/>
        <v>0.5796000930761332</v>
      </c>
      <c r="U60" s="47" t="s">
        <v>100</v>
      </c>
      <c r="V60" s="2"/>
      <c r="W60" s="2"/>
      <c r="X60" s="2"/>
      <c r="Y60" s="2"/>
      <c r="Z60" s="2"/>
      <c r="AA60" s="2"/>
    </row>
    <row r="61" spans="1:27" ht="12.75">
      <c r="A61" s="113"/>
      <c r="B61" s="33" t="s">
        <v>30</v>
      </c>
      <c r="C61" s="7">
        <f>(TireHeight/2*TireHeight/2-15/2*15/2)*PI()*CorrectedTireWidth/1000000</f>
        <v>108.19492593489468</v>
      </c>
      <c r="D61" s="12">
        <f aca="true" t="shared" si="25" ref="D61:T61">(TireHeight/2*TireHeight/2-15/2*15/2)*PI()*CorrectedTireWidth/1000000</f>
        <v>120.04449377234528</v>
      </c>
      <c r="E61" s="12">
        <f t="shared" si="25"/>
        <v>138.33834754661905</v>
      </c>
      <c r="F61" s="12">
        <f t="shared" si="25"/>
        <v>171.97086692162418</v>
      </c>
      <c r="G61" s="12">
        <f t="shared" si="25"/>
        <v>193.65744031951797</v>
      </c>
      <c r="H61" s="12">
        <f t="shared" si="25"/>
        <v>306.5753737999023</v>
      </c>
      <c r="I61" s="12">
        <f t="shared" si="25"/>
        <v>133.16682053553052</v>
      </c>
      <c r="J61" s="12">
        <f t="shared" si="25"/>
        <v>133.16682053553052</v>
      </c>
      <c r="K61" s="12">
        <f t="shared" si="25"/>
        <v>173.7406698881733</v>
      </c>
      <c r="L61" s="12">
        <f t="shared" si="25"/>
        <v>179.41476715248868</v>
      </c>
      <c r="M61" s="12">
        <f t="shared" si="25"/>
        <v>195.94020312929277</v>
      </c>
      <c r="N61" s="12">
        <f t="shared" si="25"/>
        <v>203.32611913483123</v>
      </c>
      <c r="O61" s="12">
        <f t="shared" si="25"/>
        <v>215.9354908641231</v>
      </c>
      <c r="P61" s="12">
        <f t="shared" si="25"/>
        <v>237.54197837411184</v>
      </c>
      <c r="Q61" s="12">
        <f t="shared" si="25"/>
        <v>230.6142555933284</v>
      </c>
      <c r="R61" s="12">
        <f t="shared" si="25"/>
        <v>260.1379704989403</v>
      </c>
      <c r="S61" s="12">
        <f t="shared" si="25"/>
        <v>273.4783792424757</v>
      </c>
      <c r="T61" s="13">
        <f t="shared" si="25"/>
        <v>510.70722804737744</v>
      </c>
      <c r="U61" s="47" t="s">
        <v>94</v>
      </c>
      <c r="V61" s="2"/>
      <c r="W61" s="2"/>
      <c r="X61" s="2"/>
      <c r="Y61" s="2"/>
      <c r="Z61" s="2"/>
      <c r="AA61" s="2"/>
    </row>
    <row r="62" spans="1:27" ht="12.75">
      <c r="A62" s="113"/>
      <c r="B62" s="33" t="s">
        <v>31</v>
      </c>
      <c r="C62" s="9">
        <f>ApproxTireVolume/2-2*(TireHeight/2-15/2)*(HubHeight-FrameClearance)*CorrectedTireWidth/1000000</f>
        <v>43.100278967447345</v>
      </c>
      <c r="D62" s="18">
        <f aca="true" t="shared" si="26" ref="D62:T62">ApproxTireVolume/2-2*(TireHeight/2-15/2)*(HubHeight-FrameClearance)*CorrectedTireWidth/1000000</f>
        <v>53.29134162817264</v>
      </c>
      <c r="E62" s="18">
        <f t="shared" si="26"/>
        <v>61.652744559309525</v>
      </c>
      <c r="F62" s="18">
        <f t="shared" si="26"/>
        <v>70.44863446081209</v>
      </c>
      <c r="G62" s="18">
        <f t="shared" si="26"/>
        <v>80.32418115975898</v>
      </c>
      <c r="H62" s="18">
        <f t="shared" si="26"/>
        <v>157.26997509995115</v>
      </c>
      <c r="I62" s="18">
        <f t="shared" si="26"/>
        <v>62.44887243576526</v>
      </c>
      <c r="J62" s="18">
        <f t="shared" si="26"/>
        <v>62.44887243576526</v>
      </c>
      <c r="K62" s="18">
        <f t="shared" si="26"/>
        <v>84.27758422408665</v>
      </c>
      <c r="L62" s="18">
        <f t="shared" si="26"/>
        <v>87.06146557624434</v>
      </c>
      <c r="M62" s="18">
        <f t="shared" si="26"/>
        <v>95.05474392064639</v>
      </c>
      <c r="N62" s="18">
        <f t="shared" si="26"/>
        <v>98.79931116741561</v>
      </c>
      <c r="O62" s="18">
        <f t="shared" si="26"/>
        <v>104.92640023206155</v>
      </c>
      <c r="P62" s="18">
        <f t="shared" si="26"/>
        <v>115.44402301905592</v>
      </c>
      <c r="Q62" s="18">
        <f t="shared" si="26"/>
        <v>112.0406837326642</v>
      </c>
      <c r="R62" s="18">
        <f t="shared" si="26"/>
        <v>126.50520268947017</v>
      </c>
      <c r="S62" s="18">
        <f t="shared" si="26"/>
        <v>132.99264898123783</v>
      </c>
      <c r="T62" s="19">
        <f t="shared" si="26"/>
        <v>284.05980502368874</v>
      </c>
      <c r="U62" s="47" t="s">
        <v>101</v>
      </c>
      <c r="V62" s="2"/>
      <c r="W62" s="2"/>
      <c r="X62" s="2"/>
      <c r="Y62" s="2"/>
      <c r="Z62" s="2"/>
      <c r="AA62" s="2"/>
    </row>
    <row r="63" spans="1:27" ht="13.5" thickBot="1">
      <c r="A63" s="114"/>
      <c r="B63" s="36" t="s">
        <v>34</v>
      </c>
      <c r="C63" s="22">
        <f>((TireHeight/2*TireHeight/2*PI()/2-0)-(SQRT(TireHeight/2*TireHeight/2-(HubHeight-FrameClearance)*(HubHeight-FrameClearance))+TireHeight/2)*(HubHeight-FrameClearance))*CorrectedTireWidth/1000000</f>
        <v>42.96910533830607</v>
      </c>
      <c r="D63" s="23">
        <f aca="true" t="shared" si="27" ref="D63:T63">((TireHeight/2*TireHeight/2*PI()/2-0)-(SQRT(TireHeight/2*TireHeight/2-(HubHeight-FrameClearance)*(HubHeight-FrameClearance))+TireHeight/2)*(HubHeight-FrameClearance))*CorrectedTireWidth/1000000</f>
        <v>53.19539756037063</v>
      </c>
      <c r="E63" s="23">
        <f t="shared" si="27"/>
        <v>61.54857325654164</v>
      </c>
      <c r="F63" s="23">
        <f t="shared" si="27"/>
        <v>70.27394214460662</v>
      </c>
      <c r="G63" s="23">
        <f t="shared" si="27"/>
        <v>80.14465836726947</v>
      </c>
      <c r="H63" s="23">
        <f t="shared" si="27"/>
        <v>157.36943638446274</v>
      </c>
      <c r="I63" s="23">
        <f t="shared" si="27"/>
        <v>62.396103445696774</v>
      </c>
      <c r="J63" s="23">
        <f t="shared" si="27"/>
        <v>62.396103445696774</v>
      </c>
      <c r="K63" s="23">
        <f t="shared" si="27"/>
        <v>84.25854504828388</v>
      </c>
      <c r="L63" s="23">
        <f t="shared" si="27"/>
        <v>87.04226832040465</v>
      </c>
      <c r="M63" s="23">
        <f t="shared" si="27"/>
        <v>95.0334003456523</v>
      </c>
      <c r="N63" s="23">
        <f t="shared" si="27"/>
        <v>98.77948193624127</v>
      </c>
      <c r="O63" s="23">
        <f t="shared" si="27"/>
        <v>104.90534128112448</v>
      </c>
      <c r="P63" s="23">
        <f t="shared" si="27"/>
        <v>115.42111706873017</v>
      </c>
      <c r="Q63" s="23">
        <f t="shared" si="27"/>
        <v>112.01793634819501</v>
      </c>
      <c r="R63" s="23">
        <f t="shared" si="27"/>
        <v>126.4812107685719</v>
      </c>
      <c r="S63" s="23">
        <f t="shared" si="27"/>
        <v>132.96742670542176</v>
      </c>
      <c r="T63" s="24">
        <f t="shared" si="27"/>
        <v>284.43798199325613</v>
      </c>
      <c r="U63" s="47" t="s">
        <v>95</v>
      </c>
      <c r="V63" s="2"/>
      <c r="W63" s="2"/>
      <c r="X63" s="2"/>
      <c r="Y63" s="2"/>
      <c r="Z63" s="2"/>
      <c r="AA63" s="2"/>
    </row>
    <row r="64" spans="1:27" ht="12.75">
      <c r="A64" s="113" t="s">
        <v>143</v>
      </c>
      <c r="B64" s="33" t="s">
        <v>48</v>
      </c>
      <c r="C64" s="9">
        <f>DEGREES((ATAN((EffectiveWidth)/2/NetCG)))</f>
        <v>52.95948488597345</v>
      </c>
      <c r="D64" s="77">
        <f aca="true" t="shared" si="28" ref="D64:T64">DEGREES((ATAN((EffectiveWidth)/2/NetCG)))</f>
        <v>51.32495220003912</v>
      </c>
      <c r="E64" s="78">
        <f>DEGREES((ATAN((EffectiveWidth)/2/NetCG)))</f>
        <v>51.223915691515025</v>
      </c>
      <c r="F64" s="78">
        <f>DEGREES((ATAN((EffectiveWidth)/2/NetCG)))</f>
        <v>53.4824431460317</v>
      </c>
      <c r="G64" s="78">
        <f>DEGREES((ATAN((EffectiveWidth)/2/NetCG)))</f>
        <v>51.73111605430701</v>
      </c>
      <c r="H64" s="78">
        <f>DEGREES((ATAN((EffectiveWidth)/2/NetCG)))</f>
        <v>51.26929622808988</v>
      </c>
      <c r="I64" s="78">
        <f t="shared" si="28"/>
        <v>50.23610600536628</v>
      </c>
      <c r="J64" s="78">
        <f t="shared" si="28"/>
        <v>52.243312220573344</v>
      </c>
      <c r="K64" s="78">
        <f t="shared" si="28"/>
        <v>52.23813788488783</v>
      </c>
      <c r="L64" s="78">
        <f t="shared" si="28"/>
        <v>52.49468223253413</v>
      </c>
      <c r="M64" s="78">
        <f t="shared" si="28"/>
        <v>52.92069242620902</v>
      </c>
      <c r="N64" s="78">
        <f t="shared" si="28"/>
        <v>51.13871489187854</v>
      </c>
      <c r="O64" s="78">
        <f t="shared" si="28"/>
        <v>51.97140124918196</v>
      </c>
      <c r="P64" s="78">
        <f t="shared" si="28"/>
        <v>52.80571260594731</v>
      </c>
      <c r="Q64" s="78">
        <f t="shared" si="28"/>
        <v>52.75280710697941</v>
      </c>
      <c r="R64" s="78">
        <f t="shared" si="28"/>
        <v>52.144010115256165</v>
      </c>
      <c r="S64" s="78">
        <f t="shared" si="28"/>
        <v>52.763909176052</v>
      </c>
      <c r="T64" s="79">
        <f t="shared" si="28"/>
        <v>49.55512707077472</v>
      </c>
      <c r="U64" s="102" t="s">
        <v>136</v>
      </c>
      <c r="V64" s="2"/>
      <c r="W64" s="2"/>
      <c r="X64" s="2"/>
      <c r="Y64" s="2"/>
      <c r="Z64" s="2"/>
      <c r="AA64" s="2"/>
    </row>
    <row r="65" spans="1:27" ht="13.5" thickBot="1">
      <c r="A65" s="114"/>
      <c r="B65" s="36" t="s">
        <v>29</v>
      </c>
      <c r="C65" s="22">
        <f>DEGREES((ATAN((EffectiveWidth)/2/TotalCG)))</f>
        <v>48.17697611792505</v>
      </c>
      <c r="D65" s="80">
        <f aca="true" t="shared" si="29" ref="D65:T65">DEGREES((ATAN((EffectiveWidth)/2/TotalCG)))</f>
        <v>46.72708901461355</v>
      </c>
      <c r="E65" s="23">
        <f>DEGREES((ATAN((EffectiveWidth)/2/TotalCG)))</f>
        <v>46.69178945770465</v>
      </c>
      <c r="F65" s="23">
        <f>DEGREES((ATAN((EffectiveWidth)/2/TotalCG)))</f>
        <v>48.83666023711836</v>
      </c>
      <c r="G65" s="23">
        <f>DEGREES((ATAN((EffectiveWidth)/2/TotalCG)))</f>
        <v>47.037535924193286</v>
      </c>
      <c r="H65" s="23">
        <f>DEGREES((ATAN((EffectiveWidth)/2/TotalCG)))</f>
        <v>47.12629095041712</v>
      </c>
      <c r="I65" s="23">
        <f t="shared" si="29"/>
        <v>45.76646979961416</v>
      </c>
      <c r="J65" s="23">
        <f t="shared" si="29"/>
        <v>47.81824303077793</v>
      </c>
      <c r="K65" s="23">
        <f t="shared" si="29"/>
        <v>47.916907990296764</v>
      </c>
      <c r="L65" s="23">
        <f t="shared" si="29"/>
        <v>48.19977249308984</v>
      </c>
      <c r="M65" s="23">
        <f t="shared" si="29"/>
        <v>48.61592778990538</v>
      </c>
      <c r="N65" s="23">
        <f t="shared" si="29"/>
        <v>46.84081266482587</v>
      </c>
      <c r="O65" s="23">
        <f t="shared" si="29"/>
        <v>47.69191684846103</v>
      </c>
      <c r="P65" s="23">
        <f t="shared" si="29"/>
        <v>48.555470985766426</v>
      </c>
      <c r="Q65" s="23">
        <f t="shared" si="29"/>
        <v>48.47568528589885</v>
      </c>
      <c r="R65" s="23">
        <f t="shared" si="29"/>
        <v>47.851312305953584</v>
      </c>
      <c r="S65" s="23">
        <f t="shared" si="29"/>
        <v>48.48532189138985</v>
      </c>
      <c r="T65" s="24">
        <f t="shared" si="29"/>
        <v>45.643270125286236</v>
      </c>
      <c r="U65" s="102" t="s">
        <v>137</v>
      </c>
      <c r="V65" s="2"/>
      <c r="W65" s="2"/>
      <c r="X65" s="2"/>
      <c r="Y65" s="2"/>
      <c r="Z65" s="2"/>
      <c r="AA65" s="2"/>
    </row>
    <row r="66" spans="1:27" ht="12.75">
      <c r="A66" s="45"/>
      <c r="B66" s="2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7"/>
      <c r="V66" s="2"/>
      <c r="W66" s="2"/>
      <c r="X66" s="2"/>
      <c r="Y66" s="2"/>
      <c r="Z66" s="2"/>
      <c r="AA66" s="2"/>
    </row>
    <row r="67" spans="1:27" ht="12.75">
      <c r="A67" s="45"/>
      <c r="B67" s="27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7"/>
      <c r="V67" s="2"/>
      <c r="W67" s="2"/>
      <c r="X67" s="2"/>
      <c r="Y67" s="2"/>
      <c r="Z67" s="2"/>
      <c r="AA67" s="2"/>
    </row>
    <row r="68" spans="1:27" ht="12.75">
      <c r="A68" s="45"/>
      <c r="B68" s="2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7"/>
      <c r="V68" s="2"/>
      <c r="W68" s="2"/>
      <c r="X68" s="2"/>
      <c r="Y68" s="2"/>
      <c r="Z68" s="2"/>
      <c r="AA68" s="2"/>
    </row>
    <row r="69" spans="1:27" ht="12.75">
      <c r="A69" s="81" t="s">
        <v>128</v>
      </c>
      <c r="B69" s="27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7"/>
      <c r="V69" s="2"/>
      <c r="W69" s="2"/>
      <c r="X69" s="2"/>
      <c r="Y69" s="2"/>
      <c r="Z69" s="2"/>
      <c r="AA69" s="2"/>
    </row>
    <row r="70" spans="1:27" ht="13.5" thickBot="1">
      <c r="A70" s="45"/>
      <c r="B70" s="27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7"/>
      <c r="V70" s="2"/>
      <c r="W70" s="2"/>
      <c r="X70" s="2"/>
      <c r="Y70" s="2"/>
      <c r="Z70" s="2"/>
      <c r="AA70" s="2"/>
    </row>
    <row r="71" spans="1:27" ht="13.5" thickBot="1">
      <c r="A71" s="112" t="s">
        <v>144</v>
      </c>
      <c r="B71" s="64" t="s">
        <v>119</v>
      </c>
      <c r="C71" s="53">
        <v>0</v>
      </c>
      <c r="D71" s="96">
        <v>0</v>
      </c>
      <c r="E71" s="97">
        <v>20</v>
      </c>
      <c r="F71" s="97">
        <v>0</v>
      </c>
      <c r="G71" s="97">
        <v>0</v>
      </c>
      <c r="H71" s="97">
        <v>0</v>
      </c>
      <c r="I71" s="97">
        <v>20</v>
      </c>
      <c r="J71" s="97">
        <v>20</v>
      </c>
      <c r="K71" s="97">
        <v>20</v>
      </c>
      <c r="L71" s="97">
        <v>20</v>
      </c>
      <c r="M71" s="97">
        <v>20</v>
      </c>
      <c r="N71" s="97">
        <v>20</v>
      </c>
      <c r="O71" s="97">
        <v>20</v>
      </c>
      <c r="P71" s="97">
        <v>20</v>
      </c>
      <c r="Q71" s="97">
        <v>20</v>
      </c>
      <c r="R71" s="97">
        <v>20</v>
      </c>
      <c r="S71" s="97">
        <v>20</v>
      </c>
      <c r="T71" s="98">
        <v>0</v>
      </c>
      <c r="U71" s="47" t="s">
        <v>126</v>
      </c>
      <c r="V71" s="2"/>
      <c r="W71" s="2"/>
      <c r="X71" s="2"/>
      <c r="Y71" s="2"/>
      <c r="Z71" s="2"/>
      <c r="AA71" s="2"/>
    </row>
    <row r="72" spans="1:256" ht="13.5" thickBot="1">
      <c r="A72" s="115"/>
      <c r="B72" s="65" t="s">
        <v>53</v>
      </c>
      <c r="C72" s="99">
        <f>BodyClearance+530+ExtraHeightAft</f>
        <v>868.582</v>
      </c>
      <c r="D72" s="67">
        <f>BodyClearance+AWheelArcClearance Base-BodyClearance Base+ExtraHeightAft</f>
        <v>908.9997999999999</v>
      </c>
      <c r="E72" s="12">
        <f>BodyClearance+AWheelArcClearance Base-BodyClearance Base+ExtraHeightAft</f>
        <v>939.4137999999999</v>
      </c>
      <c r="F72" s="12">
        <f>BodyClearance+AWheelArcClearance Base-BodyClearance Base+ExtraHeightAft</f>
        <v>954.8277999999999</v>
      </c>
      <c r="G72" s="12">
        <f>BodyClearance+AWheelArcClearance Base-BodyClearance Base+ExtraHeightAft</f>
        <v>1025.6558</v>
      </c>
      <c r="H72" s="12">
        <f>BodyClearance+AWheelArcClearance Base-BodyClearance Base+ExtraHeightAft</f>
        <v>1080.022</v>
      </c>
      <c r="I72" s="12">
        <f>BodyClearance+AWheelArcClearance Base-BodyClearance Base+ExtraHeightAft</f>
        <v>956.6998</v>
      </c>
      <c r="J72" s="12">
        <f>BodyClearance+AWheelArcClearance Base-BodyClearance Base+ExtraHeightAft</f>
        <v>956.6998</v>
      </c>
      <c r="K72" s="12">
        <f>BodyClearance+AWheelArcClearance Base-BodyClearance Base+ExtraHeightAft</f>
        <v>977.9520000000001</v>
      </c>
      <c r="L72" s="12">
        <f>BodyClearance+AWheelArcClearance Base-BodyClearance Base+ExtraHeightAft</f>
        <v>982.1175999999999</v>
      </c>
      <c r="M72" s="12">
        <f>BodyClearance+AWheelArcClearance Base-BodyClearance Base+ExtraHeightAft</f>
        <v>978.9934</v>
      </c>
      <c r="N72" s="12">
        <f>BodyClearance+AWheelArcClearance Base-BodyClearance Base+ExtraHeightAft</f>
        <v>1023.7800000000001</v>
      </c>
      <c r="O72" s="12">
        <f>BodyClearance+AWheelArcClearance Base-BodyClearance Base+ExtraHeightAft</f>
        <v>1023.7800000000001</v>
      </c>
      <c r="P72" s="12">
        <f>BodyClearance+AWheelArcClearance Base-BodyClearance Base+ExtraHeightAft</f>
        <v>1025.8627999999999</v>
      </c>
      <c r="Q72" s="12">
        <f>BodyClearance+AWheelArcClearance Base-BodyClearance Base+ExtraHeightAft</f>
        <v>1021.6972</v>
      </c>
      <c r="R72" s="12">
        <f>BodyClearance+AWheelArcClearance Base-BodyClearance Base+ExtraHeightAft</f>
        <v>1059.194</v>
      </c>
      <c r="S72" s="12">
        <f>BodyClearance+AWheelArcClearance Base-BodyClearance Base+ExtraHeightAft</f>
        <v>1059.194</v>
      </c>
      <c r="T72" s="13">
        <f>BodyClearance+AWheelArcClearance Base-BodyClearance Base+ExtraHeightAft</f>
        <v>1232.5059999999999</v>
      </c>
      <c r="U72" s="47" t="s">
        <v>120</v>
      </c>
      <c r="V72" s="2"/>
      <c r="W72" s="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"/>
      <c r="AL72" s="69"/>
      <c r="AM72" s="63"/>
      <c r="AN72" s="70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"/>
      <c r="BV72" s="69"/>
      <c r="BW72" s="63"/>
      <c r="BX72" s="70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"/>
      <c r="CN72" s="69"/>
      <c r="CO72" s="63"/>
      <c r="CP72" s="70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"/>
      <c r="DF72" s="69"/>
      <c r="DG72" s="63"/>
      <c r="DH72" s="70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"/>
      <c r="DX72" s="69"/>
      <c r="DY72" s="63"/>
      <c r="DZ72" s="70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"/>
      <c r="EP72" s="69"/>
      <c r="EQ72" s="63"/>
      <c r="ER72" s="70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"/>
      <c r="FH72" s="69"/>
      <c r="FI72" s="63"/>
      <c r="FJ72" s="70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"/>
      <c r="FZ72" s="69"/>
      <c r="GA72" s="63"/>
      <c r="GB72" s="70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"/>
      <c r="GR72" s="69"/>
      <c r="GS72" s="63"/>
      <c r="GT72" s="70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"/>
      <c r="HJ72" s="69"/>
      <c r="HK72" s="63"/>
      <c r="HL72" s="70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"/>
      <c r="IB72" s="69"/>
      <c r="IC72" s="63"/>
      <c r="ID72" s="70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62"/>
      <c r="IR72" s="62"/>
      <c r="IS72" s="6"/>
      <c r="IT72" s="69"/>
      <c r="IU72" s="63"/>
      <c r="IV72" s="70"/>
    </row>
    <row r="73" spans="1:27" ht="13.5" thickBot="1">
      <c r="A73" s="115"/>
      <c r="B73" s="65" t="s">
        <v>55</v>
      </c>
      <c r="C73" s="7">
        <f aca="true" t="shared" si="30" ref="C73:I73">(TireHeight+EffectiveTireHeight)/2+ASuspTravel/2</f>
        <v>861.882</v>
      </c>
      <c r="D73" s="67">
        <f t="shared" si="30"/>
        <v>898.8897999999999</v>
      </c>
      <c r="E73" s="12">
        <f t="shared" si="30"/>
        <v>942.0038</v>
      </c>
      <c r="F73" s="12">
        <f t="shared" si="30"/>
        <v>945.1178</v>
      </c>
      <c r="G73" s="12">
        <f t="shared" si="30"/>
        <v>991.3458</v>
      </c>
      <c r="H73" s="12">
        <f t="shared" si="30"/>
        <v>1067.6219999999998</v>
      </c>
      <c r="I73" s="12">
        <f t="shared" si="30"/>
        <v>944.2898</v>
      </c>
      <c r="J73" s="12">
        <f aca="true" t="shared" si="31" ref="J73:T73">(TireHeight+EffectiveTireHeight)/2+ASuspTravel/2</f>
        <v>944.2898</v>
      </c>
      <c r="K73" s="12">
        <f t="shared" si="31"/>
        <v>972.0519999999999</v>
      </c>
      <c r="L73" s="12">
        <f t="shared" si="31"/>
        <v>981.2975999999999</v>
      </c>
      <c r="M73" s="12">
        <f t="shared" si="31"/>
        <v>974.3634</v>
      </c>
      <c r="N73" s="12">
        <f t="shared" si="31"/>
        <v>1018.28</v>
      </c>
      <c r="O73" s="12">
        <f t="shared" si="31"/>
        <v>1018.28</v>
      </c>
      <c r="P73" s="12">
        <f t="shared" si="31"/>
        <v>1022.9028000000001</v>
      </c>
      <c r="Q73" s="12">
        <f t="shared" si="31"/>
        <v>1013.6571999999999</v>
      </c>
      <c r="R73" s="12">
        <f t="shared" si="31"/>
        <v>1041.394</v>
      </c>
      <c r="S73" s="12">
        <f t="shared" si="31"/>
        <v>1041.394</v>
      </c>
      <c r="T73" s="13">
        <f t="shared" si="31"/>
        <v>1226.306</v>
      </c>
      <c r="U73" s="47" t="s">
        <v>121</v>
      </c>
      <c r="V73" s="2"/>
      <c r="W73" s="2"/>
      <c r="X73" s="2"/>
      <c r="Y73" s="2"/>
      <c r="Z73" s="2"/>
      <c r="AA73" s="3"/>
    </row>
    <row r="74" spans="1:27" ht="13.5" thickBot="1">
      <c r="A74" s="115"/>
      <c r="B74" s="65" t="s">
        <v>117</v>
      </c>
      <c r="C74" s="7">
        <v>0</v>
      </c>
      <c r="D74" s="96">
        <v>0</v>
      </c>
      <c r="E74" s="97">
        <v>40</v>
      </c>
      <c r="F74" s="97">
        <v>0</v>
      </c>
      <c r="G74" s="97">
        <v>0</v>
      </c>
      <c r="H74" s="97">
        <v>0</v>
      </c>
      <c r="I74" s="97">
        <v>40</v>
      </c>
      <c r="J74" s="97">
        <v>40</v>
      </c>
      <c r="K74" s="97">
        <v>40</v>
      </c>
      <c r="L74" s="97">
        <v>40</v>
      </c>
      <c r="M74" s="97">
        <v>40</v>
      </c>
      <c r="N74" s="97">
        <v>40</v>
      </c>
      <c r="O74" s="97">
        <v>40</v>
      </c>
      <c r="P74" s="97">
        <v>40</v>
      </c>
      <c r="Q74" s="97">
        <v>40</v>
      </c>
      <c r="R74" s="97">
        <v>40</v>
      </c>
      <c r="S74" s="97">
        <v>40</v>
      </c>
      <c r="T74" s="98">
        <v>40</v>
      </c>
      <c r="U74" s="47" t="s">
        <v>130</v>
      </c>
      <c r="V74" s="2"/>
      <c r="W74" s="2"/>
      <c r="X74" s="2"/>
      <c r="Y74" s="2"/>
      <c r="Z74" s="2"/>
      <c r="AA74" s="3"/>
    </row>
    <row r="75" spans="1:27" ht="13.5" thickBot="1">
      <c r="A75" s="115"/>
      <c r="B75" s="65" t="s">
        <v>54</v>
      </c>
      <c r="C75" s="99">
        <v>310</v>
      </c>
      <c r="D75" s="67">
        <f>ASuspTravel Base+ASuspTravelDelta</f>
        <v>310</v>
      </c>
      <c r="E75" s="12">
        <f>ASuspTravel Base+ASuspTravelDelta</f>
        <v>350</v>
      </c>
      <c r="F75" s="12">
        <f>ASuspTravel Base+ASuspTravelDelta</f>
        <v>310</v>
      </c>
      <c r="G75" s="12">
        <f>ASuspTravel Base+ASuspTravelDelta</f>
        <v>310</v>
      </c>
      <c r="H75" s="12">
        <f>ASuspTravel Base+ASuspTravelDelta</f>
        <v>310</v>
      </c>
      <c r="I75" s="12">
        <f>ASuspTravel Base+ASuspTravelDelta</f>
        <v>350</v>
      </c>
      <c r="J75" s="12">
        <f>ASuspTravel Base+ASuspTravelDelta</f>
        <v>350</v>
      </c>
      <c r="K75" s="12">
        <f>ASuspTravel Base+ASuspTravelDelta</f>
        <v>350</v>
      </c>
      <c r="L75" s="12">
        <f>ASuspTravel Base+ASuspTravelDelta</f>
        <v>350</v>
      </c>
      <c r="M75" s="12">
        <f>ASuspTravel Base+ASuspTravelDelta</f>
        <v>350</v>
      </c>
      <c r="N75" s="12">
        <f>ASuspTravel Base+ASuspTravelDelta</f>
        <v>350</v>
      </c>
      <c r="O75" s="12">
        <f>ASuspTravel Base+ASuspTravelDelta</f>
        <v>350</v>
      </c>
      <c r="P75" s="12">
        <f>ASuspTravel Base+ASuspTravelDelta</f>
        <v>350</v>
      </c>
      <c r="Q75" s="12">
        <f>ASuspTravel Base+ASuspTravelDelta</f>
        <v>350</v>
      </c>
      <c r="R75" s="12">
        <f>ASuspTravel Base+ASuspTravelDelta</f>
        <v>350</v>
      </c>
      <c r="S75" s="12">
        <f>ASuspTravel Base+ASuspTravelDelta</f>
        <v>350</v>
      </c>
      <c r="T75" s="13">
        <f>ASuspTravel Base+ASuspTravelDelta</f>
        <v>350</v>
      </c>
      <c r="U75" s="47" t="s">
        <v>122</v>
      </c>
      <c r="V75" s="2"/>
      <c r="W75" s="2"/>
      <c r="X75" s="2"/>
      <c r="Y75" s="2"/>
      <c r="Z75" s="2"/>
      <c r="AA75" s="3"/>
    </row>
    <row r="76" spans="1:27" ht="13.5" thickBot="1">
      <c r="A76" s="115"/>
      <c r="B76" s="65" t="s">
        <v>115</v>
      </c>
      <c r="C76" s="7">
        <f>AWheelArcClearance-AWheelArcClearanceReq</f>
        <v>6.7000000000000455</v>
      </c>
      <c r="D76" s="67">
        <f aca="true" t="shared" si="32" ref="D76:T76">AWheelArcClearance-AWheelArcClearanceReq</f>
        <v>10.110000000000014</v>
      </c>
      <c r="E76" s="12">
        <f>AWheelArcClearance-AWheelArcClearanceReq</f>
        <v>-2.590000000000032</v>
      </c>
      <c r="F76" s="12">
        <f>AWheelArcClearance-AWheelArcClearanceReq</f>
        <v>9.709999999999923</v>
      </c>
      <c r="G76" s="12">
        <f>AWheelArcClearance-AWheelArcClearanceReq</f>
        <v>34.309999999999945</v>
      </c>
      <c r="H76" s="12">
        <f>AWheelArcClearance-AWheelArcClearanceReq</f>
        <v>12.400000000000091</v>
      </c>
      <c r="I76" s="12">
        <f t="shared" si="32"/>
        <v>12.409999999999968</v>
      </c>
      <c r="J76" s="12">
        <f t="shared" si="32"/>
        <v>12.409999999999968</v>
      </c>
      <c r="K76" s="12">
        <f t="shared" si="32"/>
        <v>5.900000000000205</v>
      </c>
      <c r="L76" s="12">
        <f t="shared" si="32"/>
        <v>0.82000000000005</v>
      </c>
      <c r="M76" s="12">
        <f t="shared" si="32"/>
        <v>4.6299999999999955</v>
      </c>
      <c r="N76" s="12">
        <f t="shared" si="32"/>
        <v>5.500000000000114</v>
      </c>
      <c r="O76" s="12">
        <f t="shared" si="32"/>
        <v>5.500000000000114</v>
      </c>
      <c r="P76" s="12">
        <f t="shared" si="32"/>
        <v>2.959999999999809</v>
      </c>
      <c r="Q76" s="12">
        <f t="shared" si="32"/>
        <v>8.040000000000077</v>
      </c>
      <c r="R76" s="12">
        <f t="shared" si="32"/>
        <v>17.799999999999955</v>
      </c>
      <c r="S76" s="12">
        <f t="shared" si="32"/>
        <v>17.799999999999955</v>
      </c>
      <c r="T76" s="13">
        <f t="shared" si="32"/>
        <v>6.199999999999818</v>
      </c>
      <c r="U76" s="47" t="s">
        <v>139</v>
      </c>
      <c r="V76" s="2"/>
      <c r="W76" s="2"/>
      <c r="X76" s="2"/>
      <c r="Y76" s="2"/>
      <c r="Z76" s="2"/>
      <c r="AA76" s="2"/>
    </row>
    <row r="77" spans="1:27" ht="13.5" thickBot="1">
      <c r="A77" s="115"/>
      <c r="B77" s="65" t="s">
        <v>58</v>
      </c>
      <c r="C77" s="99">
        <f>BodyClearance+460</f>
        <v>798.582</v>
      </c>
      <c r="D77" s="67">
        <f>BodyClearance+FWheelArcClearance Base-BodyClearance Base</f>
        <v>838.9997999999999</v>
      </c>
      <c r="E77" s="12">
        <f>BodyClearance+460</f>
        <v>849.4138</v>
      </c>
      <c r="F77" s="12">
        <f>BodyClearance+460</f>
        <v>884.8278</v>
      </c>
      <c r="G77" s="12">
        <f>BodyClearance+460</f>
        <v>955.6558</v>
      </c>
      <c r="H77" s="12">
        <f>BodyClearance+460</f>
        <v>1010.0219999999999</v>
      </c>
      <c r="I77" s="12">
        <f>BodyClearance+FWheelArcClearance Base-BodyClearance Base</f>
        <v>866.6998</v>
      </c>
      <c r="J77" s="12">
        <f aca="true" t="shared" si="33" ref="J77:T77">BodyClearance+460</f>
        <v>866.6998</v>
      </c>
      <c r="K77" s="12">
        <f t="shared" si="33"/>
        <v>887.952</v>
      </c>
      <c r="L77" s="12">
        <f t="shared" si="33"/>
        <v>892.1175999999999</v>
      </c>
      <c r="M77" s="12">
        <f t="shared" si="33"/>
        <v>888.9934</v>
      </c>
      <c r="N77" s="12">
        <f t="shared" si="33"/>
        <v>933.78</v>
      </c>
      <c r="O77" s="12">
        <f t="shared" si="33"/>
        <v>933.78</v>
      </c>
      <c r="P77" s="12">
        <f t="shared" si="33"/>
        <v>935.8628</v>
      </c>
      <c r="Q77" s="12">
        <f t="shared" si="33"/>
        <v>931.6972</v>
      </c>
      <c r="R77" s="12">
        <f t="shared" si="33"/>
        <v>969.194</v>
      </c>
      <c r="S77" s="12">
        <f t="shared" si="33"/>
        <v>969.194</v>
      </c>
      <c r="T77" s="13">
        <f t="shared" si="33"/>
        <v>1162.5059999999999</v>
      </c>
      <c r="U77" s="47" t="s">
        <v>123</v>
      </c>
      <c r="V77" s="2"/>
      <c r="W77" s="2"/>
      <c r="X77" s="2"/>
      <c r="Y77" s="2"/>
      <c r="Z77" s="2"/>
      <c r="AA77" s="2"/>
    </row>
    <row r="78" spans="1:27" ht="13.5" thickBot="1">
      <c r="A78" s="115"/>
      <c r="B78" s="65" t="s">
        <v>56</v>
      </c>
      <c r="C78" s="7">
        <f>(TireHeight+EffectiveTireHeight)/2+FSuspTravel/2</f>
        <v>796.882</v>
      </c>
      <c r="D78" s="67">
        <f aca="true" t="shared" si="34" ref="D78:T78">(TireHeight+EffectiveTireHeight)/2+FSuspTravel/2</f>
        <v>833.8897999999999</v>
      </c>
      <c r="E78" s="12">
        <f>(TireHeight+EffectiveTireHeight)/2+FSuspTravel/2</f>
        <v>857.0038</v>
      </c>
      <c r="F78" s="12">
        <f>(TireHeight+EffectiveTireHeight)/2+FSuspTravel/2</f>
        <v>880.1178</v>
      </c>
      <c r="G78" s="12">
        <f>(TireHeight+EffectiveTireHeight)/2+FSuspTravel/2</f>
        <v>926.3458</v>
      </c>
      <c r="H78" s="12">
        <f>(TireHeight+EffectiveTireHeight)/2+FSuspTravel/2</f>
        <v>1002.6219999999998</v>
      </c>
      <c r="I78" s="12">
        <f t="shared" si="34"/>
        <v>859.2898</v>
      </c>
      <c r="J78" s="12">
        <f t="shared" si="34"/>
        <v>859.2898</v>
      </c>
      <c r="K78" s="12">
        <f t="shared" si="34"/>
        <v>887.0519999999999</v>
      </c>
      <c r="L78" s="12">
        <f t="shared" si="34"/>
        <v>896.2975999999999</v>
      </c>
      <c r="M78" s="12">
        <f t="shared" si="34"/>
        <v>889.3634</v>
      </c>
      <c r="N78" s="12">
        <f t="shared" si="34"/>
        <v>933.28</v>
      </c>
      <c r="O78" s="12">
        <f t="shared" si="34"/>
        <v>933.28</v>
      </c>
      <c r="P78" s="12">
        <f t="shared" si="34"/>
        <v>937.9028000000001</v>
      </c>
      <c r="Q78" s="12">
        <f t="shared" si="34"/>
        <v>928.6571999999999</v>
      </c>
      <c r="R78" s="12">
        <f t="shared" si="34"/>
        <v>956.394</v>
      </c>
      <c r="S78" s="12">
        <f t="shared" si="34"/>
        <v>956.394</v>
      </c>
      <c r="T78" s="13">
        <f t="shared" si="34"/>
        <v>1161.306</v>
      </c>
      <c r="U78" s="47" t="s">
        <v>124</v>
      </c>
      <c r="V78" s="2"/>
      <c r="W78" s="2"/>
      <c r="X78" s="2"/>
      <c r="Y78" s="2"/>
      <c r="Z78" s="2"/>
      <c r="AA78" s="3"/>
    </row>
    <row r="79" spans="1:27" ht="13.5" thickBot="1">
      <c r="A79" s="115"/>
      <c r="B79" s="65" t="s">
        <v>118</v>
      </c>
      <c r="C79" s="7">
        <v>0</v>
      </c>
      <c r="D79" s="96">
        <v>0</v>
      </c>
      <c r="E79" s="97">
        <v>0</v>
      </c>
      <c r="F79" s="97">
        <v>0</v>
      </c>
      <c r="G79" s="97">
        <v>0</v>
      </c>
      <c r="H79" s="97">
        <v>0</v>
      </c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97">
        <v>0</v>
      </c>
      <c r="T79" s="98">
        <v>40</v>
      </c>
      <c r="U79" s="47" t="s">
        <v>131</v>
      </c>
      <c r="V79" s="2"/>
      <c r="W79" s="2"/>
      <c r="X79" s="2"/>
      <c r="Y79" s="2"/>
      <c r="Z79" s="2"/>
      <c r="AA79" s="3"/>
    </row>
    <row r="80" spans="1:27" ht="13.5" thickBot="1">
      <c r="A80" s="115"/>
      <c r="B80" s="65" t="s">
        <v>57</v>
      </c>
      <c r="C80" s="99">
        <v>180</v>
      </c>
      <c r="D80" s="67">
        <f>FSuspTravel Base+FSuspTravelDelta</f>
        <v>180</v>
      </c>
      <c r="E80" s="12">
        <f>FSuspTravel Base+FSuspTravelDelta</f>
        <v>180</v>
      </c>
      <c r="F80" s="12">
        <f>FSuspTravel Base+FSuspTravelDelta</f>
        <v>180</v>
      </c>
      <c r="G80" s="12">
        <f>FSuspTravel Base+FSuspTravelDelta</f>
        <v>180</v>
      </c>
      <c r="H80" s="12">
        <f>FSuspTravel Base+FSuspTravelDelta</f>
        <v>180</v>
      </c>
      <c r="I80" s="12">
        <f>FSuspTravel Base+FSuspTravelDelta</f>
        <v>180</v>
      </c>
      <c r="J80" s="12">
        <f>FSuspTravel Base+FSuspTravelDelta</f>
        <v>180</v>
      </c>
      <c r="K80" s="12">
        <f>FSuspTravel Base+FSuspTravelDelta</f>
        <v>180</v>
      </c>
      <c r="L80" s="12">
        <f>FSuspTravel Base+FSuspTravelDelta</f>
        <v>180</v>
      </c>
      <c r="M80" s="12">
        <f>FSuspTravel Base+FSuspTravelDelta</f>
        <v>180</v>
      </c>
      <c r="N80" s="12">
        <f>FSuspTravel Base+FSuspTravelDelta</f>
        <v>180</v>
      </c>
      <c r="O80" s="12">
        <f>FSuspTravel Base+FSuspTravelDelta</f>
        <v>180</v>
      </c>
      <c r="P80" s="12">
        <f>FSuspTravel Base+FSuspTravelDelta</f>
        <v>180</v>
      </c>
      <c r="Q80" s="12">
        <f>FSuspTravel Base+FSuspTravelDelta</f>
        <v>180</v>
      </c>
      <c r="R80" s="12">
        <f>FSuspTravel Base+FSuspTravelDelta</f>
        <v>180</v>
      </c>
      <c r="S80" s="12">
        <f>FSuspTravel Base+FSuspTravelDelta</f>
        <v>180</v>
      </c>
      <c r="T80" s="13">
        <f>FSuspTravel Base+FSuspTravelDelta</f>
        <v>220</v>
      </c>
      <c r="U80" s="47" t="s">
        <v>125</v>
      </c>
      <c r="V80" s="2"/>
      <c r="W80" s="2"/>
      <c r="X80" s="2"/>
      <c r="Y80" s="2"/>
      <c r="Z80" s="2"/>
      <c r="AA80" s="3"/>
    </row>
    <row r="81" spans="1:27" ht="13.5" thickBot="1">
      <c r="A81" s="116"/>
      <c r="B81" s="66" t="s">
        <v>116</v>
      </c>
      <c r="C81" s="52">
        <f>FWheelArcClearance-FWheelArcClearanceReq</f>
        <v>1.7000000000000455</v>
      </c>
      <c r="D81" s="68">
        <f aca="true" t="shared" si="35" ref="D81:T81">FWheelArcClearance-FWheelArcClearanceReq</f>
        <v>5.110000000000014</v>
      </c>
      <c r="E81" s="14">
        <f>FWheelArcClearance-FWheelArcClearanceReq</f>
        <v>-7.589999999999918</v>
      </c>
      <c r="F81" s="14">
        <f>FWheelArcClearance-FWheelArcClearanceReq</f>
        <v>4.710000000000036</v>
      </c>
      <c r="G81" s="14">
        <f>FWheelArcClearance-FWheelArcClearanceReq</f>
        <v>29.309999999999945</v>
      </c>
      <c r="H81" s="14">
        <f>FWheelArcClearance-FWheelArcClearanceReq</f>
        <v>7.400000000000091</v>
      </c>
      <c r="I81" s="14">
        <f t="shared" si="35"/>
        <v>7.409999999999968</v>
      </c>
      <c r="J81" s="14">
        <f t="shared" si="35"/>
        <v>7.409999999999968</v>
      </c>
      <c r="K81" s="14">
        <f t="shared" si="35"/>
        <v>0.900000000000091</v>
      </c>
      <c r="L81" s="14">
        <f t="shared" si="35"/>
        <v>-4.17999999999995</v>
      </c>
      <c r="M81" s="14">
        <f t="shared" si="35"/>
        <v>-0.37000000000000455</v>
      </c>
      <c r="N81" s="14">
        <f t="shared" si="35"/>
        <v>0.5</v>
      </c>
      <c r="O81" s="14">
        <f t="shared" si="35"/>
        <v>0.5</v>
      </c>
      <c r="P81" s="14">
        <f t="shared" si="35"/>
        <v>-2.0400000000000773</v>
      </c>
      <c r="Q81" s="14">
        <f t="shared" si="35"/>
        <v>3.0400000000000773</v>
      </c>
      <c r="R81" s="14">
        <f t="shared" si="35"/>
        <v>12.799999999999955</v>
      </c>
      <c r="S81" s="14">
        <f t="shared" si="35"/>
        <v>12.799999999999955</v>
      </c>
      <c r="T81" s="15">
        <f t="shared" si="35"/>
        <v>1.199999999999818</v>
      </c>
      <c r="U81" s="47" t="s">
        <v>138</v>
      </c>
      <c r="V81" s="2"/>
      <c r="W81" s="2"/>
      <c r="X81" s="2"/>
      <c r="Y81" s="2"/>
      <c r="Z81" s="2"/>
      <c r="AA81" s="2"/>
    </row>
    <row r="82" spans="3:27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47"/>
      <c r="V82" s="2"/>
      <c r="W82" s="2"/>
      <c r="X82" s="2"/>
      <c r="Y82" s="2"/>
      <c r="Z82" s="2"/>
      <c r="AA82" s="2"/>
    </row>
    <row r="83" spans="3:27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47"/>
      <c r="V83" s="2"/>
      <c r="W83" s="2"/>
      <c r="X83" s="2"/>
      <c r="Y83" s="2"/>
      <c r="Z83" s="2"/>
      <c r="AA83" s="2"/>
    </row>
    <row r="84" spans="3:27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47"/>
      <c r="V84" s="2"/>
      <c r="W84" s="2"/>
      <c r="X84" s="2"/>
      <c r="Y84" s="2"/>
      <c r="Z84" s="2"/>
      <c r="AA84" s="2"/>
    </row>
    <row r="85" spans="3:27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47"/>
      <c r="V85" s="2"/>
      <c r="W85" s="2"/>
      <c r="X85" s="2"/>
      <c r="Y85" s="2"/>
      <c r="Z85" s="2"/>
      <c r="AA85" s="2"/>
    </row>
    <row r="86" spans="3:27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47"/>
      <c r="V86" s="2"/>
      <c r="W86" s="2"/>
      <c r="X86" s="2"/>
      <c r="Y86" s="2"/>
      <c r="Z86" s="2"/>
      <c r="AA86" s="2"/>
    </row>
    <row r="87" spans="1:2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47"/>
      <c r="O87" s="2"/>
      <c r="P87" s="2"/>
      <c r="Q87" s="2"/>
      <c r="R87" s="2"/>
      <c r="S87" s="2"/>
      <c r="T87" s="2"/>
      <c r="U87" s="2"/>
      <c r="V87" s="3"/>
      <c r="W87" s="3"/>
      <c r="X87" s="3"/>
      <c r="Y87" s="3"/>
      <c r="Z87" s="3"/>
      <c r="AA87" s="3"/>
    </row>
    <row r="88" spans="1:2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47"/>
      <c r="O88" s="2"/>
      <c r="P88" s="2"/>
      <c r="Q88" s="2"/>
      <c r="R88" s="2"/>
      <c r="S88" s="2"/>
      <c r="T88" s="2"/>
      <c r="U88" s="2"/>
      <c r="V88" s="3"/>
      <c r="W88" s="3"/>
      <c r="X88" s="3"/>
      <c r="Y88" s="3"/>
      <c r="Z88" s="3"/>
      <c r="AA88" s="3"/>
    </row>
    <row r="89" spans="1:2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47"/>
      <c r="O89" s="2"/>
      <c r="P89" s="2"/>
      <c r="Q89" s="2"/>
      <c r="R89" s="2"/>
      <c r="S89" s="2"/>
      <c r="T89" s="2"/>
      <c r="U89" s="2"/>
      <c r="V89" s="3"/>
      <c r="W89" s="3"/>
      <c r="X89" s="3"/>
      <c r="Y89" s="3"/>
      <c r="Z89" s="3"/>
      <c r="AA89" s="3"/>
    </row>
    <row r="90" spans="1:2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47"/>
      <c r="O90" s="2"/>
      <c r="P90" s="2"/>
      <c r="Q90" s="2"/>
      <c r="R90" s="2"/>
      <c r="S90" s="2"/>
      <c r="T90" s="2"/>
      <c r="U90" s="2"/>
      <c r="V90" s="3"/>
      <c r="W90" s="3"/>
      <c r="X90" s="3"/>
      <c r="Y90" s="3"/>
      <c r="Z90" s="3"/>
      <c r="AA90" s="3"/>
    </row>
    <row r="91" spans="1:2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47"/>
      <c r="O91" s="2"/>
      <c r="P91" s="2"/>
      <c r="Q91" s="2"/>
      <c r="R91" s="2"/>
      <c r="S91" s="2"/>
      <c r="T91" s="2"/>
      <c r="U91" s="2"/>
      <c r="V91" s="3"/>
      <c r="W91" s="3"/>
      <c r="X91" s="3"/>
      <c r="Y91" s="3"/>
      <c r="Z91" s="3"/>
      <c r="AA91" s="3"/>
    </row>
    <row r="92" spans="1:2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47"/>
      <c r="O92" s="2"/>
      <c r="P92" s="2"/>
      <c r="Q92" s="2"/>
      <c r="R92" s="2"/>
      <c r="S92" s="2"/>
      <c r="T92" s="2"/>
      <c r="U92" s="2"/>
      <c r="V92" s="3"/>
      <c r="W92" s="3"/>
      <c r="X92" s="3"/>
      <c r="Y92" s="3"/>
      <c r="Z92" s="3"/>
      <c r="AA92" s="3"/>
    </row>
    <row r="93" spans="1:27" ht="12.75">
      <c r="A93" s="1"/>
      <c r="N93" s="50"/>
      <c r="U93" s="1"/>
      <c r="V93" s="3"/>
      <c r="W93" s="3"/>
      <c r="X93" s="3"/>
      <c r="Y93" s="3"/>
      <c r="Z93" s="3"/>
      <c r="AA93" s="3"/>
    </row>
    <row r="94" spans="1:27" ht="12.75">
      <c r="A94" s="1"/>
      <c r="N94" s="50"/>
      <c r="U94" s="1"/>
      <c r="V94" s="3"/>
      <c r="W94" s="3"/>
      <c r="X94" s="3"/>
      <c r="Y94" s="3"/>
      <c r="Z94" s="3"/>
      <c r="AA94" s="3"/>
    </row>
    <row r="95" spans="1:27" ht="12.75">
      <c r="A95" s="1"/>
      <c r="N95" s="50"/>
      <c r="U95" s="1"/>
      <c r="V95" s="3"/>
      <c r="W95" s="3"/>
      <c r="X95" s="3"/>
      <c r="Y95" s="3"/>
      <c r="Z95" s="3"/>
      <c r="AA95" s="3"/>
    </row>
    <row r="96" spans="1:27" ht="12.75">
      <c r="A96" s="1"/>
      <c r="N96" s="50"/>
      <c r="U96" s="1"/>
      <c r="V96" s="3"/>
      <c r="W96" s="3"/>
      <c r="X96" s="3"/>
      <c r="Y96" s="3"/>
      <c r="Z96" s="3"/>
      <c r="AA96" s="3"/>
    </row>
  </sheetData>
  <mergeCells count="11">
    <mergeCell ref="A55:A58"/>
    <mergeCell ref="D1:H1"/>
    <mergeCell ref="I1:S1"/>
    <mergeCell ref="A44:A54"/>
    <mergeCell ref="A71:A81"/>
    <mergeCell ref="A2:A5"/>
    <mergeCell ref="A6:A19"/>
    <mergeCell ref="A36:A43"/>
    <mergeCell ref="A20:A35"/>
    <mergeCell ref="A59:A63"/>
    <mergeCell ref="A64:A65"/>
  </mergeCells>
  <conditionalFormatting sqref="AA13:AA15">
    <cfRule type="cellIs" priority="1" dxfId="0" operator="greaterThan" stopIfTrue="1">
      <formula>AA59</formula>
    </cfRule>
  </conditionalFormatting>
  <conditionalFormatting sqref="AA38">
    <cfRule type="cellIs" priority="2" dxfId="0" operator="lessThan" stopIfTrue="1">
      <formula>AA58</formula>
    </cfRule>
  </conditionalFormatting>
  <conditionalFormatting sqref="C38">
    <cfRule type="cellIs" priority="3" dxfId="0" operator="lessThan" stopIfTrue="1">
      <formula>$C$55</formula>
    </cfRule>
  </conditionalFormatting>
  <conditionalFormatting sqref="V13:Y15 D13:U13 D15:T15">
    <cfRule type="cellIs" priority="4" dxfId="0" operator="greaterThan" stopIfTrue="1">
      <formula>D58</formula>
    </cfRule>
  </conditionalFormatting>
  <conditionalFormatting sqref="V38:Y38 D38:T38">
    <cfRule type="cellIs" priority="5" dxfId="0" operator="lessThan" stopIfTrue="1">
      <formula>D55</formula>
    </cfRule>
  </conditionalFormatting>
  <conditionalFormatting sqref="C76:Y76 C81:Y81">
    <cfRule type="cellIs" priority="6" dxfId="0" operator="lessThan" stopIfTrue="1">
      <formula>0</formula>
    </cfRule>
  </conditionalFormatting>
  <conditionalFormatting sqref="D65:T65 V65:Y65">
    <cfRule type="cellIs" priority="7" dxfId="1" operator="greaterThan" stopIfTrue="1">
      <formula>$C$65</formula>
    </cfRule>
  </conditionalFormatting>
  <conditionalFormatting sqref="D64:T64 V64:Y64">
    <cfRule type="cellIs" priority="8" dxfId="1" operator="greaterThan" stopIfTrue="1">
      <formula>$C$64</formula>
    </cfRule>
  </conditionalFormatting>
  <conditionalFormatting sqref="U7:Y10 D7:T7">
    <cfRule type="cellIs" priority="9" dxfId="0" operator="greaterThan" stopIfTrue="1">
      <formula>D6/3/0.8</formula>
    </cfRule>
  </conditionalFormatting>
  <conditionalFormatting sqref="C9:T9">
    <cfRule type="cellIs" priority="10" dxfId="0" operator="greaterThan" stopIfTrue="1">
      <formula>C6/3</formula>
    </cfRule>
  </conditionalFormatting>
  <printOptions horizontalCentered="1" verticalCentered="1"/>
  <pageMargins left="0.1968503937007874" right="0.1968503937007874" top="0.3937007874015748" bottom="0.3937007874015748" header="0.1968503937007874" footer="0"/>
  <pageSetup fitToHeight="1" fitToWidth="1" horizontalDpi="600" verticalDpi="600" orientation="landscape" paperSize="8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Fannberg</dc:creator>
  <cp:keywords/>
  <dc:description/>
  <cp:lastModifiedBy>Jon Fannberg</cp:lastModifiedBy>
  <cp:lastPrinted>2007-10-18T20:44:08Z</cp:lastPrinted>
  <dcterms:created xsi:type="dcterms:W3CDTF">2007-09-18T16:31:51Z</dcterms:created>
  <dcterms:modified xsi:type="dcterms:W3CDTF">2008-01-15T11:17:01Z</dcterms:modified>
  <cp:category/>
  <cp:version/>
  <cp:contentType/>
  <cp:contentStatus/>
</cp:coreProperties>
</file>